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95" windowHeight="8190"/>
  </bookViews>
  <sheets>
    <sheet name="свод" sheetId="5" r:id="rId1"/>
  </sheets>
  <definedNames>
    <definedName name="_xlnm.Print_Area" localSheetId="0">свод!$A$1:$N$155</definedName>
  </definedNames>
  <calcPr calcId="124519"/>
</workbook>
</file>

<file path=xl/calcChain.xml><?xml version="1.0" encoding="utf-8"?>
<calcChain xmlns="http://schemas.openxmlformats.org/spreadsheetml/2006/main">
  <c r="I110" i="5"/>
  <c r="M111"/>
  <c r="M110" s="1"/>
  <c r="N97"/>
  <c r="N152"/>
  <c r="M112"/>
  <c r="C110"/>
  <c r="D110"/>
  <c r="E110"/>
  <c r="F110"/>
  <c r="G110"/>
  <c r="H110"/>
  <c r="J110"/>
  <c r="K110"/>
  <c r="L110"/>
  <c r="D97"/>
  <c r="D152" s="1"/>
  <c r="E97"/>
  <c r="E152" s="1"/>
  <c r="F97"/>
  <c r="F152" s="1"/>
  <c r="G97"/>
  <c r="G152" s="1"/>
  <c r="H97"/>
  <c r="H152" s="1"/>
  <c r="I97"/>
  <c r="I152" s="1"/>
  <c r="J97"/>
  <c r="J152" s="1"/>
  <c r="K97"/>
  <c r="K152" s="1"/>
  <c r="L31"/>
  <c r="L33" s="1"/>
  <c r="L97" s="1"/>
  <c r="L152" s="1"/>
  <c r="L79"/>
  <c r="M16"/>
  <c r="M19"/>
  <c r="M24"/>
  <c r="M29"/>
  <c r="C32"/>
  <c r="C33" s="1"/>
  <c r="M36"/>
  <c r="M43"/>
  <c r="M50"/>
  <c r="M51"/>
  <c r="M55"/>
  <c r="M61"/>
  <c r="M71"/>
  <c r="M78"/>
  <c r="M79"/>
  <c r="M85"/>
  <c r="M91"/>
  <c r="M92"/>
  <c r="M93"/>
  <c r="M94"/>
  <c r="M95"/>
  <c r="M96"/>
  <c r="C44"/>
  <c r="E44"/>
  <c r="I44"/>
  <c r="M44"/>
  <c r="E45"/>
  <c r="I45"/>
  <c r="L45"/>
  <c r="M45"/>
  <c r="M46"/>
  <c r="C47"/>
  <c r="M47" s="1"/>
  <c r="I47"/>
  <c r="L47"/>
  <c r="I48"/>
  <c r="L48"/>
  <c r="M48"/>
  <c r="C49"/>
  <c r="I49"/>
  <c r="L49"/>
  <c r="M49"/>
  <c r="M102"/>
  <c r="M103"/>
  <c r="C104"/>
  <c r="D104"/>
  <c r="E104"/>
  <c r="I104"/>
  <c r="J104"/>
  <c r="K104"/>
  <c r="L104"/>
  <c r="M104"/>
  <c r="C106"/>
  <c r="D106"/>
  <c r="E106"/>
  <c r="F106"/>
  <c r="G106"/>
  <c r="H106"/>
  <c r="I106"/>
  <c r="J106"/>
  <c r="K106"/>
  <c r="L106"/>
  <c r="M107"/>
  <c r="M108"/>
  <c r="M106" s="1"/>
  <c r="M114"/>
  <c r="M115"/>
  <c r="M116"/>
  <c r="M117"/>
  <c r="M118"/>
  <c r="M119"/>
  <c r="M120"/>
  <c r="M121"/>
  <c r="E88"/>
  <c r="E89"/>
  <c r="E90"/>
  <c r="I88"/>
  <c r="I89"/>
  <c r="I90"/>
  <c r="L88"/>
  <c r="L89"/>
  <c r="L90"/>
  <c r="E80"/>
  <c r="I80"/>
  <c r="M80" s="1"/>
  <c r="I81"/>
  <c r="L81"/>
  <c r="M81"/>
  <c r="E82"/>
  <c r="I82"/>
  <c r="L82"/>
  <c r="M82"/>
  <c r="E83"/>
  <c r="I83"/>
  <c r="L83"/>
  <c r="M83"/>
  <c r="E84"/>
  <c r="I84"/>
  <c r="L84"/>
  <c r="M84"/>
  <c r="I86"/>
  <c r="M86"/>
  <c r="I87"/>
  <c r="L87"/>
  <c r="M87" s="1"/>
  <c r="M88"/>
  <c r="M89"/>
  <c r="M90"/>
  <c r="M122"/>
  <c r="M123"/>
  <c r="M124"/>
  <c r="M125"/>
  <c r="M126"/>
  <c r="M127"/>
  <c r="M131"/>
  <c r="M132"/>
  <c r="M133"/>
  <c r="M134"/>
  <c r="M135"/>
  <c r="M136"/>
  <c r="M137"/>
  <c r="M138"/>
  <c r="M139"/>
  <c r="M140"/>
  <c r="M141"/>
  <c r="M142"/>
  <c r="M143"/>
  <c r="M144"/>
  <c r="M145"/>
  <c r="M146"/>
  <c r="M151" s="1"/>
  <c r="M147"/>
  <c r="M148"/>
  <c r="M149"/>
  <c r="M150"/>
  <c r="D151"/>
  <c r="E151"/>
  <c r="F151"/>
  <c r="G151"/>
  <c r="H151"/>
  <c r="I151"/>
  <c r="J151"/>
  <c r="K151"/>
  <c r="L151"/>
  <c r="C151"/>
  <c r="C6"/>
  <c r="C18"/>
  <c r="C21"/>
  <c r="C25"/>
  <c r="C38"/>
  <c r="C41"/>
  <c r="C56"/>
  <c r="C59"/>
  <c r="C62"/>
  <c r="C63"/>
  <c r="C80"/>
  <c r="C81"/>
  <c r="E6"/>
  <c r="E10"/>
  <c r="E17"/>
  <c r="E20"/>
  <c r="E22"/>
  <c r="E23"/>
  <c r="E25"/>
  <c r="E26"/>
  <c r="E27"/>
  <c r="E28"/>
  <c r="E32"/>
  <c r="E34"/>
  <c r="E38"/>
  <c r="E40"/>
  <c r="E41"/>
  <c r="E42"/>
  <c r="E56"/>
  <c r="E57"/>
  <c r="E58"/>
  <c r="E59"/>
  <c r="E60"/>
  <c r="E62"/>
  <c r="E63"/>
  <c r="E64"/>
  <c r="E65"/>
  <c r="E66"/>
  <c r="E67"/>
  <c r="E68"/>
  <c r="E70"/>
  <c r="E72"/>
  <c r="E73"/>
  <c r="E74"/>
  <c r="E75"/>
  <c r="E76"/>
  <c r="E77"/>
  <c r="L8"/>
  <c r="L10"/>
  <c r="L11"/>
  <c r="L12"/>
  <c r="L13"/>
  <c r="L18"/>
  <c r="L20"/>
  <c r="L21"/>
  <c r="L23"/>
  <c r="L26"/>
  <c r="L28"/>
  <c r="L34"/>
  <c r="L35"/>
  <c r="L39"/>
  <c r="L40"/>
  <c r="L42"/>
  <c r="L52"/>
  <c r="L53"/>
  <c r="L57"/>
  <c r="L58"/>
  <c r="L59"/>
  <c r="L60"/>
  <c r="L62"/>
  <c r="L63"/>
  <c r="L64"/>
  <c r="L65"/>
  <c r="L66"/>
  <c r="L67"/>
  <c r="L68"/>
  <c r="L69"/>
  <c r="L72"/>
  <c r="L74"/>
  <c r="L76"/>
  <c r="L77"/>
  <c r="I6"/>
  <c r="I7"/>
  <c r="I8"/>
  <c r="I9"/>
  <c r="I10"/>
  <c r="I11"/>
  <c r="I12"/>
  <c r="I13"/>
  <c r="I14"/>
  <c r="I17"/>
  <c r="I18"/>
  <c r="I20"/>
  <c r="I21"/>
  <c r="I23"/>
  <c r="I25"/>
  <c r="I26"/>
  <c r="I27"/>
  <c r="I28"/>
  <c r="I30"/>
  <c r="I31"/>
  <c r="I34"/>
  <c r="I35"/>
  <c r="I37"/>
  <c r="I38"/>
  <c r="I39"/>
  <c r="I40"/>
  <c r="I41"/>
  <c r="I42"/>
  <c r="I52"/>
  <c r="I53"/>
  <c r="I56"/>
  <c r="I57"/>
  <c r="I58"/>
  <c r="I59"/>
  <c r="I60"/>
  <c r="I62"/>
  <c r="I63"/>
  <c r="I64"/>
  <c r="I65"/>
  <c r="I66"/>
  <c r="I67"/>
  <c r="I68"/>
  <c r="I69"/>
  <c r="I70"/>
  <c r="I72"/>
  <c r="I73"/>
  <c r="I74"/>
  <c r="I75"/>
  <c r="I76"/>
  <c r="I77"/>
  <c r="C86"/>
  <c r="A7"/>
  <c r="A8" s="1"/>
  <c r="A9" s="1"/>
  <c r="A10" s="1"/>
  <c r="A11" s="1"/>
  <c r="A12" s="1"/>
  <c r="A13" s="1"/>
  <c r="A14" s="1"/>
  <c r="A17" s="1"/>
  <c r="A18" s="1"/>
  <c r="A20" s="1"/>
  <c r="A21" s="1"/>
  <c r="A22" s="1"/>
  <c r="A23" s="1"/>
  <c r="A25" s="1"/>
  <c r="A26" s="1"/>
  <c r="A27" s="1"/>
  <c r="A28" s="1"/>
  <c r="A30" s="1"/>
  <c r="A31" s="1"/>
  <c r="A32" s="1"/>
  <c r="A34" s="1"/>
  <c r="A35" s="1"/>
  <c r="A37" s="1"/>
  <c r="A38" s="1"/>
  <c r="A39" s="1"/>
  <c r="A40" s="1"/>
  <c r="A41" s="1"/>
  <c r="A42" s="1"/>
  <c r="A44" s="1"/>
  <c r="A45" s="1"/>
  <c r="A46" s="1"/>
  <c r="A47" s="1"/>
  <c r="A48" s="1"/>
  <c r="A49" s="1"/>
  <c r="A52" s="1"/>
  <c r="A53" s="1"/>
  <c r="A54" s="1"/>
  <c r="A56" s="1"/>
  <c r="A57" s="1"/>
  <c r="A58" s="1"/>
  <c r="A59" s="1"/>
  <c r="A60" s="1"/>
  <c r="A62" s="1"/>
  <c r="A63" s="1"/>
  <c r="A64" s="1"/>
  <c r="A65" s="1"/>
  <c r="A66" s="1"/>
  <c r="A67" s="1"/>
  <c r="A68" s="1"/>
  <c r="A69" s="1"/>
  <c r="A70" s="1"/>
  <c r="A72" s="1"/>
  <c r="A73" s="1"/>
  <c r="A74" s="1"/>
  <c r="A75" s="1"/>
  <c r="A76" s="1"/>
  <c r="A77" s="1"/>
  <c r="A80"/>
  <c r="A81" s="1"/>
  <c r="A82" s="1"/>
  <c r="A83" s="1"/>
  <c r="A84" s="1"/>
  <c r="A86" s="1"/>
  <c r="A87" s="1"/>
  <c r="A88"/>
  <c r="A89" s="1"/>
  <c r="A90" s="1"/>
  <c r="M33" l="1"/>
  <c r="M97" s="1"/>
  <c r="M152" s="1"/>
  <c r="C97"/>
  <c r="C152" s="1"/>
</calcChain>
</file>

<file path=xl/sharedStrings.xml><?xml version="1.0" encoding="utf-8"?>
<sst xmlns="http://schemas.openxmlformats.org/spreadsheetml/2006/main" count="207" uniqueCount="165">
  <si>
    <t>Адрес убираемого помещения</t>
  </si>
  <si>
    <t>1 раз в неделю</t>
  </si>
  <si>
    <t>каждый день</t>
  </si>
  <si>
    <t>№ п/п</t>
  </si>
  <si>
    <t>1 раз в месяц</t>
  </si>
  <si>
    <t>Ленина 32, подвал</t>
  </si>
  <si>
    <t>Ленина 32, 1 этаж</t>
  </si>
  <si>
    <t>Ленина 32, 2 этаж</t>
  </si>
  <si>
    <t>Ленина 32, 3 этаж</t>
  </si>
  <si>
    <t>Ленина 32, 4 этаж</t>
  </si>
  <si>
    <t>Ленина 32, 5 этаж</t>
  </si>
  <si>
    <t>Победы 21/ 1, цоколь</t>
  </si>
  <si>
    <t>Победы 21/ 1, 1 этаж</t>
  </si>
  <si>
    <t>Победы 21/ 1, 2 этаж</t>
  </si>
  <si>
    <t>Победы 21/ 1, 3 этаж</t>
  </si>
  <si>
    <t>Рабкоров 6/1, 1 этаж</t>
  </si>
  <si>
    <t>Рабкоров 6/1, 2 этаж</t>
  </si>
  <si>
    <t>Рабкоров 6/1, подвал</t>
  </si>
  <si>
    <t>Российская 19, цоколь</t>
  </si>
  <si>
    <t>Российская 19, 1 этаж</t>
  </si>
  <si>
    <t>Российская 19, 2 этаж</t>
  </si>
  <si>
    <t>Российская 19, 3 этаж</t>
  </si>
  <si>
    <t>Российская 19, 4 этаж</t>
  </si>
  <si>
    <t>Правды 17, подвал</t>
  </si>
  <si>
    <t>Правды 17, 1 этаж</t>
  </si>
  <si>
    <t>Правды 17, 5 этаж</t>
  </si>
  <si>
    <t>Правды 17, 3 этаж</t>
  </si>
  <si>
    <t>Гоголя 59, 3 этаж</t>
  </si>
  <si>
    <t>Гоголя 59, 4 этаж</t>
  </si>
  <si>
    <t>Гоголя 59, цоколь</t>
  </si>
  <si>
    <t>Кирова 103, подвал</t>
  </si>
  <si>
    <t>Кирова 103, 1 этаж</t>
  </si>
  <si>
    <t>Кирова 103, 2 этаж</t>
  </si>
  <si>
    <t>Кирова 103, 3 этаж</t>
  </si>
  <si>
    <t>Кирова 103, 4 этаж</t>
  </si>
  <si>
    <t>Кирова 103, 5 этаж</t>
  </si>
  <si>
    <t>Ленина 30, цоколь</t>
  </si>
  <si>
    <t>Ленина 30, 1 этаж</t>
  </si>
  <si>
    <t>Ленина 30, 2 этаж</t>
  </si>
  <si>
    <t>Ленина 30, 3 этаж</t>
  </si>
  <si>
    <t>Ленина 30, 4 этаж</t>
  </si>
  <si>
    <t>Ленина 30, 5 этаж</t>
  </si>
  <si>
    <t>Майкопская 61</t>
  </si>
  <si>
    <t>Т.Янаби 32/1, подвал</t>
  </si>
  <si>
    <t>Т.Янаби 32/1, 1 этаж</t>
  </si>
  <si>
    <t>Т.Янаби 32/1, 2 этаж</t>
  </si>
  <si>
    <t>Т.Янаби 32/1, 3 этаж</t>
  </si>
  <si>
    <t>Т.Янаби 32/1, 4 этаж</t>
  </si>
  <si>
    <t>Правды 17, 2 этаж</t>
  </si>
  <si>
    <t>Гагарина 39/2, 1 этаж</t>
  </si>
  <si>
    <t>ИТОГО:</t>
  </si>
  <si>
    <t>Борисоглебская 41,                  3 этаж</t>
  </si>
  <si>
    <t>Ст.Халтурина 30                             3эт + лест 2 эт</t>
  </si>
  <si>
    <t>Борисоглебская 41,                     1 этаж</t>
  </si>
  <si>
    <t>Борисоглебская 41,                               2 этаж</t>
  </si>
  <si>
    <t>Борисоглебская 41,                                4 этаж</t>
  </si>
  <si>
    <t>Лесотехникума 34/2,                 1 этаж</t>
  </si>
  <si>
    <t>Лесотехникума 34/2,                   5 этаж</t>
  </si>
  <si>
    <t>Лесотехникума 34/2,               2 этаж</t>
  </si>
  <si>
    <t>Лесотехникума 34/2,                    3 этаж</t>
  </si>
  <si>
    <t>Лесотехникума 34/2,                      4 этаж</t>
  </si>
  <si>
    <t>Ахметова 316/3,                                       1 этаж</t>
  </si>
  <si>
    <t>Ахметова 316/3,                              2 этаж</t>
  </si>
  <si>
    <t>Вологодская 150,  1 этаж</t>
  </si>
  <si>
    <t>Вологодская 150,  2 этаж</t>
  </si>
  <si>
    <t>Ст.Халтурина 30                                        1 этаж+лест 4 эт</t>
  </si>
  <si>
    <t>Ленина 32 (подвал-5этаж)</t>
  </si>
  <si>
    <t>Победы 21/1 (цоколь-3 этаж)</t>
  </si>
  <si>
    <t>Рабкоров 6/1, (подвал -2 этаж)</t>
  </si>
  <si>
    <t>Вологодская 150,  1-2 этаж</t>
  </si>
  <si>
    <t>Российская 19, (цоколь- 4 этаж)</t>
  </si>
  <si>
    <t>Правды 17, (подвал-5этаж)</t>
  </si>
  <si>
    <t>Лесотехникума 34/2,  1-5 этаж</t>
  </si>
  <si>
    <t>Кирова 103, (подвал - 5 этаж)</t>
  </si>
  <si>
    <t>Ленина 30, (цоколь- 5 этаж)</t>
  </si>
  <si>
    <t>Т.Янаби 32/1, (подвал - 4 этаж)</t>
  </si>
  <si>
    <t>ИТОГО</t>
  </si>
  <si>
    <t>Центр технической эксплуатации</t>
  </si>
  <si>
    <t>ул. Рабкоров 6/1</t>
  </si>
  <si>
    <t>2 раза в день</t>
  </si>
  <si>
    <t>ул. Гафури, 9</t>
  </si>
  <si>
    <t>Республиканский радио-телевизионный передающий центр</t>
  </si>
  <si>
    <t>Центральный аппарат управления</t>
  </si>
  <si>
    <t>Офис</t>
  </si>
  <si>
    <t>3 раза в неделю</t>
  </si>
  <si>
    <t>2 раза в неделю</t>
  </si>
  <si>
    <t>4 раза в неделю</t>
  </si>
  <si>
    <t>Учебный корпус, гостиница</t>
  </si>
  <si>
    <t>Ленина 32/1, в том числе</t>
  </si>
  <si>
    <t>РПКЦ   СПУТНИК</t>
  </si>
  <si>
    <t>Каспийская, 14</t>
  </si>
  <si>
    <t>служебные помещения</t>
  </si>
  <si>
    <t>складские помещения. Гаржные боксы</t>
  </si>
  <si>
    <t>Гоголя,59</t>
  </si>
  <si>
    <t>3  раза в день</t>
  </si>
  <si>
    <t>РП  № 10 Ленина,120</t>
  </si>
  <si>
    <t>РП № 20 Вокзальная,1</t>
  </si>
  <si>
    <t>РП № 33  Р.Зорге,46</t>
  </si>
  <si>
    <t>РП № 9   Ст.Халтурина,30</t>
  </si>
  <si>
    <t>РП № 29   50 лет СССР,47</t>
  </si>
  <si>
    <t>РП № 36  50 лет Октября</t>
  </si>
  <si>
    <t>РП № 17  Ирандык,4</t>
  </si>
  <si>
    <t>РП № 38  Российская,108</t>
  </si>
  <si>
    <t>РП № 3  Российская,19</t>
  </si>
  <si>
    <t>РП  № 39 Гагарина,15/1</t>
  </si>
  <si>
    <t xml:space="preserve"> АТС-30  Гагарина,39/2</t>
  </si>
  <si>
    <t>РП № 30 Пр.Октября,121/1-А</t>
  </si>
  <si>
    <t>РП № 24  Правды,17</t>
  </si>
  <si>
    <t>РП № 6 Т.Янаби,32/1</t>
  </si>
  <si>
    <t>РП № 43  Транспортная,44</t>
  </si>
  <si>
    <t>РП № 42  Вологодская,13</t>
  </si>
  <si>
    <t>РП № 5  Борисоглебская,41</t>
  </si>
  <si>
    <t>РП № 41  Борисоглебская,3</t>
  </si>
  <si>
    <t>РП № 31 Первомайская,79</t>
  </si>
  <si>
    <t>РП № 11 Победы,21/1</t>
  </si>
  <si>
    <t>РП № 40 Ульяновых,32/34</t>
  </si>
  <si>
    <t>РП  № 34 Шафиева,28</t>
  </si>
  <si>
    <t>РП № 2 Кирова,103/1</t>
  </si>
  <si>
    <t>РП № 46 Сельская,8/2</t>
  </si>
  <si>
    <t>РП № 45  С. Перовской,15</t>
  </si>
  <si>
    <t>РП  № 35  Гафури,6</t>
  </si>
  <si>
    <t>РП № 7 Рабкоров,6/2</t>
  </si>
  <si>
    <t>РП № 23 Кувыкина,23</t>
  </si>
  <si>
    <t>РП № 22 Менделеева,145/1</t>
  </si>
  <si>
    <t>РП № 47 Достоевского,99</t>
  </si>
  <si>
    <t>Расчетно-сервисный центр</t>
  </si>
  <si>
    <t>Борисоглебская 41,    1-4  этаж</t>
  </si>
  <si>
    <t xml:space="preserve">РП № 1   Ленина,32                                       (в том числе ПКП)                                                                      </t>
  </si>
  <si>
    <t>сан.узел</t>
  </si>
  <si>
    <t>54,6*</t>
  </si>
  <si>
    <t>12*</t>
  </si>
  <si>
    <t>16*</t>
  </si>
  <si>
    <t>73*</t>
  </si>
  <si>
    <t>156*</t>
  </si>
  <si>
    <t>182*</t>
  </si>
  <si>
    <t>78*</t>
  </si>
  <si>
    <t>85*</t>
  </si>
  <si>
    <t>147,4*</t>
  </si>
  <si>
    <t>303,45*</t>
  </si>
  <si>
    <t>23,2*</t>
  </si>
  <si>
    <t>63*</t>
  </si>
  <si>
    <t>104*</t>
  </si>
  <si>
    <t>420*</t>
  </si>
  <si>
    <t>152*</t>
  </si>
  <si>
    <t>422,6*</t>
  </si>
  <si>
    <t>37,2*</t>
  </si>
  <si>
    <t>142*</t>
  </si>
  <si>
    <t>17*</t>
  </si>
  <si>
    <t>7*</t>
  </si>
  <si>
    <t>Площадь убираемого помещения уборщиками, м2</t>
  </si>
  <si>
    <t>Площадь убираемой территории  дворниками, м2</t>
  </si>
  <si>
    <t xml:space="preserve">Гоголя 59 </t>
  </si>
  <si>
    <t xml:space="preserve">Ст.Халтурина, 30                             </t>
  </si>
  <si>
    <t>ВСЕГО</t>
  </si>
  <si>
    <r>
      <t>Примечание:</t>
    </r>
    <r>
      <rPr>
        <sz val="12"/>
        <color indexed="8"/>
        <rFont val="Arial Narrow"/>
        <family val="2"/>
        <charset val="204"/>
      </rPr>
      <t xml:space="preserve"> (*) - обязанности по убрке прилегающей к РП территории возложены на уборщиков производственных и служебных помещений</t>
    </r>
  </si>
  <si>
    <t>2 раза в месяц</t>
  </si>
  <si>
    <t>РП № 4 Гагарина,39/2</t>
  </si>
  <si>
    <t>РП № 67 с. Архангельское</t>
  </si>
  <si>
    <t>Ахметова 316/3</t>
  </si>
  <si>
    <t>Луганская, 37а</t>
  </si>
  <si>
    <t>Российская 163/1</t>
  </si>
  <si>
    <t>Айская, 69/2</t>
  </si>
  <si>
    <t>Чернышевского, 61</t>
  </si>
  <si>
    <t>Выносные концентраторы</t>
  </si>
  <si>
    <t>Перечень услуг (свод  площадей производственных, служебных помещений  и прилегающих территорий  уфимских филиалов ОАО "Башинформсвязь")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</si>
</sst>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1"/>
      <name val="Arial Narrow"/>
      <family val="2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 wrapText="1"/>
    </xf>
    <xf numFmtId="164" fontId="8" fillId="0" borderId="2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 shrinkToFi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4" fontId="4" fillId="0" borderId="25" xfId="0" applyNumberFormat="1" applyFont="1" applyFill="1" applyBorder="1" applyAlignment="1">
      <alignment horizontal="center" vertical="center"/>
    </xf>
    <xf numFmtId="164" fontId="4" fillId="0" borderId="26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0"/>
  <sheetViews>
    <sheetView tabSelected="1" view="pageBreakPreview" zoomScale="60" zoomScaleNormal="75" workbookViewId="0">
      <pane ySplit="14" topLeftCell="A15" activePane="bottomLeft" state="frozen"/>
      <selection pane="bottomLeft" activeCell="B157" sqref="B157"/>
    </sheetView>
  </sheetViews>
  <sheetFormatPr defaultRowHeight="16.5"/>
  <cols>
    <col min="1" max="1" width="7" style="3" customWidth="1"/>
    <col min="2" max="2" width="29.7109375" style="4" customWidth="1"/>
    <col min="3" max="4" width="8.140625" style="3" customWidth="1"/>
    <col min="5" max="5" width="9.28515625" style="3" customWidth="1"/>
    <col min="6" max="6" width="9.42578125" style="3" customWidth="1"/>
    <col min="7" max="8" width="9.28515625" style="3" customWidth="1"/>
    <col min="9" max="9" width="9" style="3" customWidth="1"/>
    <col min="10" max="10" width="8.7109375" style="3" customWidth="1"/>
    <col min="11" max="11" width="9" style="3" customWidth="1"/>
    <col min="12" max="12" width="8.42578125" style="3" customWidth="1"/>
    <col min="13" max="13" width="8.85546875" style="99" customWidth="1"/>
    <col min="14" max="14" width="13" style="3" customWidth="1"/>
  </cols>
  <sheetData>
    <row r="1" spans="1:14" ht="51.75" customHeight="1">
      <c r="A1" s="110" t="s">
        <v>164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4" ht="17.25" thickBo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92"/>
      <c r="N2" s="21"/>
    </row>
    <row r="3" spans="1:14" ht="17.25" customHeight="1" thickBot="1">
      <c r="A3" s="118" t="s">
        <v>3</v>
      </c>
      <c r="B3" s="111" t="s">
        <v>0</v>
      </c>
      <c r="C3" s="118" t="s">
        <v>149</v>
      </c>
      <c r="D3" s="150"/>
      <c r="E3" s="150"/>
      <c r="F3" s="150"/>
      <c r="G3" s="150"/>
      <c r="H3" s="150"/>
      <c r="I3" s="150"/>
      <c r="J3" s="150"/>
      <c r="K3" s="150"/>
      <c r="L3" s="150"/>
      <c r="M3" s="116" t="s">
        <v>76</v>
      </c>
      <c r="N3" s="111" t="s">
        <v>150</v>
      </c>
    </row>
    <row r="4" spans="1:14" ht="69.75" customHeight="1" thickBot="1">
      <c r="A4" s="119"/>
      <c r="B4" s="120"/>
      <c r="C4" s="22" t="s">
        <v>4</v>
      </c>
      <c r="D4" s="22" t="s">
        <v>155</v>
      </c>
      <c r="E4" s="23" t="s">
        <v>1</v>
      </c>
      <c r="F4" s="24" t="s">
        <v>85</v>
      </c>
      <c r="G4" s="23" t="s">
        <v>84</v>
      </c>
      <c r="H4" s="24" t="s">
        <v>86</v>
      </c>
      <c r="I4" s="23" t="s">
        <v>2</v>
      </c>
      <c r="J4" s="23" t="s">
        <v>79</v>
      </c>
      <c r="K4" s="24" t="s">
        <v>94</v>
      </c>
      <c r="L4" s="22" t="s">
        <v>128</v>
      </c>
      <c r="M4" s="140"/>
      <c r="N4" s="112"/>
    </row>
    <row r="5" spans="1:14" ht="17.25" thickBot="1">
      <c r="A5" s="22">
        <v>1</v>
      </c>
      <c r="B5" s="23">
        <v>2</v>
      </c>
      <c r="C5" s="22">
        <v>3</v>
      </c>
      <c r="D5" s="22">
        <v>4</v>
      </c>
      <c r="E5" s="23">
        <v>5</v>
      </c>
      <c r="F5" s="24">
        <v>6</v>
      </c>
      <c r="G5" s="23">
        <v>7</v>
      </c>
      <c r="H5" s="24">
        <v>8</v>
      </c>
      <c r="I5" s="23">
        <v>9</v>
      </c>
      <c r="J5" s="23">
        <v>10</v>
      </c>
      <c r="K5" s="24">
        <v>11</v>
      </c>
      <c r="L5" s="22">
        <v>12</v>
      </c>
      <c r="M5" s="89">
        <v>13</v>
      </c>
      <c r="N5" s="26">
        <v>14</v>
      </c>
    </row>
    <row r="6" spans="1:14" hidden="1">
      <c r="A6" s="11">
        <v>1</v>
      </c>
      <c r="B6" s="12" t="s">
        <v>5</v>
      </c>
      <c r="C6" s="11">
        <f>22.6+14.2+53.4+32</f>
        <v>122.19999999999999</v>
      </c>
      <c r="D6" s="11"/>
      <c r="E6" s="10">
        <f>47.9+82.9</f>
        <v>130.80000000000001</v>
      </c>
      <c r="F6" s="12"/>
      <c r="G6" s="12"/>
      <c r="H6" s="12"/>
      <c r="I6" s="12">
        <f>5.45+17.5+20.2+12.7</f>
        <v>55.849999999999994</v>
      </c>
      <c r="J6" s="12"/>
      <c r="K6" s="12"/>
      <c r="L6" s="11"/>
      <c r="M6" s="94"/>
      <c r="N6" s="25"/>
    </row>
    <row r="7" spans="1:14" hidden="1">
      <c r="A7" s="11">
        <f t="shared" ref="A7:A84" si="0">A6+1</f>
        <v>2</v>
      </c>
      <c r="B7" s="12" t="s">
        <v>6</v>
      </c>
      <c r="C7" s="11"/>
      <c r="D7" s="11"/>
      <c r="E7" s="10"/>
      <c r="F7" s="12"/>
      <c r="G7" s="12"/>
      <c r="H7" s="12"/>
      <c r="I7" s="12">
        <f>39.9+42.4*2+9+12.9+21.4*2+4.5+2.7+4.8*2+15.4*2+22.4+2.5+12.9+13.3+3.2+12+12+11+6.1+18.7</f>
        <v>351.09999999999997</v>
      </c>
      <c r="J7" s="12"/>
      <c r="K7" s="12"/>
      <c r="L7" s="11"/>
      <c r="M7" s="94"/>
      <c r="N7" s="25"/>
    </row>
    <row r="8" spans="1:14" hidden="1">
      <c r="A8" s="11">
        <f t="shared" si="0"/>
        <v>3</v>
      </c>
      <c r="B8" s="12" t="s">
        <v>7</v>
      </c>
      <c r="C8" s="11"/>
      <c r="D8" s="11"/>
      <c r="E8" s="10"/>
      <c r="F8" s="12"/>
      <c r="G8" s="12"/>
      <c r="H8" s="12"/>
      <c r="I8" s="12">
        <f>5.45+9.9+82.4+87.5+34.1+18.6+53.4+3.4+4.1+17.2+25.9+87.5+56+114.7+9.6+27+9.6+26+16.9+18.4+16.9+19+18+8.9+10.1+10+25.4+57.5+30.4+16.4+17.3+17.5+16.8+3.5+1.2+1.2+8.2+59.9+30.7+12+11.1+7.1</f>
        <v>1106.7499999999998</v>
      </c>
      <c r="J8" s="12"/>
      <c r="K8" s="12"/>
      <c r="L8" s="11">
        <f>1.4*4</f>
        <v>5.6</v>
      </c>
      <c r="M8" s="94"/>
      <c r="N8" s="25"/>
    </row>
    <row r="9" spans="1:14" hidden="1">
      <c r="A9" s="11">
        <f t="shared" si="0"/>
        <v>4</v>
      </c>
      <c r="B9" s="12" t="s">
        <v>8</v>
      </c>
      <c r="C9" s="11"/>
      <c r="D9" s="11"/>
      <c r="E9" s="10"/>
      <c r="F9" s="12"/>
      <c r="G9" s="12"/>
      <c r="H9" s="12"/>
      <c r="I9" s="12">
        <f>5.45+2.9+5.3+35.3+86.2+77.4+66+13.7+66.3+37.2+52.7</f>
        <v>448.45</v>
      </c>
      <c r="J9" s="12"/>
      <c r="K9" s="12"/>
      <c r="L9" s="11"/>
      <c r="M9" s="94"/>
      <c r="N9" s="25"/>
    </row>
    <row r="10" spans="1:14" hidden="1">
      <c r="A10" s="11">
        <f t="shared" si="0"/>
        <v>5</v>
      </c>
      <c r="B10" s="12" t="s">
        <v>8</v>
      </c>
      <c r="C10" s="11"/>
      <c r="D10" s="11"/>
      <c r="E10" s="10">
        <f>9.4+10+37</f>
        <v>56.4</v>
      </c>
      <c r="F10" s="12"/>
      <c r="G10" s="12"/>
      <c r="H10" s="12"/>
      <c r="I10" s="12">
        <f>79.8+24.9+69.9+57+40.4+94.5+77.7+16+31+12*2+11.1+7.1+21.7+8.4</f>
        <v>563.50000000000011</v>
      </c>
      <c r="J10" s="12"/>
      <c r="K10" s="12"/>
      <c r="L10" s="11">
        <f>7.8+12.9</f>
        <v>20.7</v>
      </c>
      <c r="M10" s="94"/>
      <c r="N10" s="25"/>
    </row>
    <row r="11" spans="1:14" hidden="1">
      <c r="A11" s="11">
        <f t="shared" si="0"/>
        <v>6</v>
      </c>
      <c r="B11" s="12" t="s">
        <v>9</v>
      </c>
      <c r="C11" s="11"/>
      <c r="D11" s="11"/>
      <c r="E11" s="10"/>
      <c r="F11" s="12"/>
      <c r="G11" s="12"/>
      <c r="H11" s="12"/>
      <c r="I11" s="12">
        <f>35.5+54.4+34.1+224.3+34.2+23.1+16+18.6+7.9+16.7+56.1+7.1+2.4+1.9+1.9+12+12+11.1</f>
        <v>569.29999999999995</v>
      </c>
      <c r="J11" s="12"/>
      <c r="K11" s="12"/>
      <c r="L11" s="11">
        <f>(10.7+2.4+1.9+1.9+2.1)/2</f>
        <v>9.5</v>
      </c>
      <c r="M11" s="94"/>
      <c r="N11" s="25"/>
    </row>
    <row r="12" spans="1:14" hidden="1">
      <c r="A12" s="11">
        <f t="shared" si="0"/>
        <v>7</v>
      </c>
      <c r="B12" s="12" t="s">
        <v>9</v>
      </c>
      <c r="C12" s="11"/>
      <c r="D12" s="11"/>
      <c r="E12" s="10"/>
      <c r="F12" s="12"/>
      <c r="G12" s="12"/>
      <c r="H12" s="12"/>
      <c r="I12" s="12">
        <f>93.1+19.7+59.8+51.3+56.9+56.9+57.1+36.8+41.9+7.1</f>
        <v>480.59999999999997</v>
      </c>
      <c r="J12" s="12"/>
      <c r="K12" s="12"/>
      <c r="L12" s="11">
        <f>(10.7+2.4+1.9+1.9+2.1)/2</f>
        <v>9.5</v>
      </c>
      <c r="M12" s="94"/>
      <c r="N12" s="25"/>
    </row>
    <row r="13" spans="1:14" hidden="1">
      <c r="A13" s="11">
        <f t="shared" si="0"/>
        <v>8</v>
      </c>
      <c r="B13" s="12" t="s">
        <v>10</v>
      </c>
      <c r="C13" s="11"/>
      <c r="D13" s="11"/>
      <c r="E13" s="10"/>
      <c r="F13" s="12"/>
      <c r="G13" s="12"/>
      <c r="H13" s="12"/>
      <c r="I13" s="12">
        <f>37.3+87.8+213.5+28+38.6+33.1+33.5+71.4+6.5+1.7+1.8+2.2+12+12</f>
        <v>579.40000000000009</v>
      </c>
      <c r="J13" s="12"/>
      <c r="K13" s="12"/>
      <c r="L13" s="11">
        <f>12.7+2.4+1.9+1.9+2.1</f>
        <v>21</v>
      </c>
      <c r="M13" s="94"/>
      <c r="N13" s="25"/>
    </row>
    <row r="14" spans="1:14" hidden="1">
      <c r="A14" s="11">
        <f t="shared" si="0"/>
        <v>9</v>
      </c>
      <c r="B14" s="12" t="s">
        <v>10</v>
      </c>
      <c r="C14" s="11"/>
      <c r="D14" s="11"/>
      <c r="E14" s="10"/>
      <c r="F14" s="12"/>
      <c r="G14" s="12"/>
      <c r="H14" s="12"/>
      <c r="I14" s="12">
        <f>22.6+86.4+110.1+112.8+36.6+36.8+40.3+5.2+11</f>
        <v>461.8</v>
      </c>
      <c r="J14" s="12"/>
      <c r="K14" s="12"/>
      <c r="L14" s="11"/>
      <c r="M14" s="94"/>
      <c r="N14" s="25"/>
    </row>
    <row r="15" spans="1:14" ht="18.75" customHeight="1" thickBot="1">
      <c r="A15" s="141" t="s">
        <v>77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3"/>
    </row>
    <row r="16" spans="1:14" s="2" customFormat="1">
      <c r="A16" s="6">
        <v>1</v>
      </c>
      <c r="B16" s="31" t="s">
        <v>66</v>
      </c>
      <c r="C16" s="8">
        <v>253</v>
      </c>
      <c r="D16" s="6"/>
      <c r="E16" s="8">
        <v>85.7</v>
      </c>
      <c r="F16" s="6"/>
      <c r="G16" s="8"/>
      <c r="H16" s="6"/>
      <c r="I16" s="8">
        <v>4313.3</v>
      </c>
      <c r="J16" s="6"/>
      <c r="K16" s="8"/>
      <c r="L16" s="6">
        <v>122.6</v>
      </c>
      <c r="M16" s="95">
        <f>SUM(C16:L16)</f>
        <v>4774.6000000000004</v>
      </c>
      <c r="N16" s="9">
        <v>1210.2</v>
      </c>
    </row>
    <row r="17" spans="1:14" s="2" customFormat="1" ht="33" hidden="1">
      <c r="A17" s="10">
        <f>A14+1</f>
        <v>10</v>
      </c>
      <c r="B17" s="32" t="s">
        <v>65</v>
      </c>
      <c r="C17" s="12"/>
      <c r="D17" s="10"/>
      <c r="E17" s="12">
        <f>22+16.9+2.6+5.9+67.7+70</f>
        <v>185.1</v>
      </c>
      <c r="F17" s="10"/>
      <c r="G17" s="12"/>
      <c r="H17" s="10"/>
      <c r="I17" s="12">
        <f>59+6.1+1.8+3+16.2+12.2+11.8+8.8+4.7+36.4+32.7+20.2+10.9+10.3+13.1*2+12.8*2</f>
        <v>285.90000000000003</v>
      </c>
      <c r="J17" s="10"/>
      <c r="K17" s="12"/>
      <c r="L17" s="10">
        <v>7</v>
      </c>
      <c r="M17" s="96"/>
      <c r="N17" s="13"/>
    </row>
    <row r="18" spans="1:14" s="2" customFormat="1" ht="33" hidden="1">
      <c r="A18" s="10">
        <f t="shared" si="0"/>
        <v>11</v>
      </c>
      <c r="B18" s="32" t="s">
        <v>52</v>
      </c>
      <c r="C18" s="12">
        <f>70.7+36.5+34.3+5.8+20+21.7+21.9+20.9+16.9</f>
        <v>248.70000000000002</v>
      </c>
      <c r="D18" s="10"/>
      <c r="E18" s="12">
        <v>5.5</v>
      </c>
      <c r="F18" s="10"/>
      <c r="G18" s="12"/>
      <c r="H18" s="10"/>
      <c r="I18" s="12">
        <f>12.8*2+17.8+16.6+142.9+23.5+43.5+68.1+11.7+35.3+16.1</f>
        <v>401.1</v>
      </c>
      <c r="J18" s="10"/>
      <c r="K18" s="12"/>
      <c r="L18" s="10">
        <f>2.9+1.8+5.8+2.9+2.3+5.8</f>
        <v>21.5</v>
      </c>
      <c r="M18" s="96"/>
      <c r="N18" s="13"/>
    </row>
    <row r="19" spans="1:14" s="2" customFormat="1">
      <c r="A19" s="10">
        <v>2</v>
      </c>
      <c r="B19" s="32" t="s">
        <v>152</v>
      </c>
      <c r="C19" s="12"/>
      <c r="D19" s="10"/>
      <c r="E19" s="12">
        <v>146.19999999999999</v>
      </c>
      <c r="F19" s="10"/>
      <c r="G19" s="12"/>
      <c r="H19" s="10"/>
      <c r="I19" s="12">
        <v>763</v>
      </c>
      <c r="J19" s="10"/>
      <c r="K19" s="12"/>
      <c r="L19" s="10">
        <v>32.4</v>
      </c>
      <c r="M19" s="96">
        <f>SUM(C19:L19)</f>
        <v>941.6</v>
      </c>
      <c r="N19" s="13">
        <v>730.1</v>
      </c>
    </row>
    <row r="20" spans="1:14" s="2" customFormat="1" ht="33" hidden="1">
      <c r="A20" s="10">
        <f>A18+1</f>
        <v>12</v>
      </c>
      <c r="B20" s="32" t="s">
        <v>53</v>
      </c>
      <c r="C20" s="12"/>
      <c r="D20" s="10"/>
      <c r="E20" s="12">
        <f>36.5+57.6+5.3+2.1+2.2+69.4+8.4+4.7+5.7+2.8+3.3+36.8</f>
        <v>234.8</v>
      </c>
      <c r="F20" s="10"/>
      <c r="G20" s="12"/>
      <c r="H20" s="10"/>
      <c r="I20" s="12">
        <f>13.2*2+44.6+21.2+39.6+3.2+66.8+16.2+12+11.7+68.5+2.6+13.2*2+40.8+10.9+39.6+34.2</f>
        <v>464.7</v>
      </c>
      <c r="J20" s="10"/>
      <c r="K20" s="12"/>
      <c r="L20" s="10">
        <f>3.8+1+4.7+3.1+2.1+4.6</f>
        <v>19.299999999999997</v>
      </c>
      <c r="M20" s="96"/>
      <c r="N20" s="13"/>
    </row>
    <row r="21" spans="1:14" s="2" customFormat="1" ht="33" hidden="1">
      <c r="A21" s="10">
        <f t="shared" si="0"/>
        <v>13</v>
      </c>
      <c r="B21" s="32" t="s">
        <v>54</v>
      </c>
      <c r="C21" s="12">
        <f>13.3*2</f>
        <v>26.6</v>
      </c>
      <c r="D21" s="10"/>
      <c r="E21" s="12"/>
      <c r="F21" s="10"/>
      <c r="G21" s="12"/>
      <c r="H21" s="10"/>
      <c r="I21" s="12">
        <f>13.1*2+18.4+16.7</f>
        <v>61.3</v>
      </c>
      <c r="J21" s="10"/>
      <c r="K21" s="12"/>
      <c r="L21" s="10">
        <f>2.5+2+5</f>
        <v>9.5</v>
      </c>
      <c r="M21" s="96"/>
      <c r="N21" s="13"/>
    </row>
    <row r="22" spans="1:14" s="2" customFormat="1" ht="33" hidden="1">
      <c r="A22" s="10">
        <f t="shared" si="0"/>
        <v>14</v>
      </c>
      <c r="B22" s="32" t="s">
        <v>55</v>
      </c>
      <c r="C22" s="12"/>
      <c r="D22" s="10"/>
      <c r="E22" s="12">
        <f>13.3*2+4.9+13.1*2</f>
        <v>57.7</v>
      </c>
      <c r="F22" s="10"/>
      <c r="G22" s="12"/>
      <c r="H22" s="10"/>
      <c r="I22" s="12"/>
      <c r="J22" s="10"/>
      <c r="K22" s="12"/>
      <c r="L22" s="10"/>
      <c r="M22" s="96"/>
      <c r="N22" s="13"/>
    </row>
    <row r="23" spans="1:14" s="2" customFormat="1" ht="33" hidden="1">
      <c r="A23" s="10">
        <f t="shared" si="0"/>
        <v>15</v>
      </c>
      <c r="B23" s="32" t="s">
        <v>51</v>
      </c>
      <c r="C23" s="12"/>
      <c r="D23" s="10"/>
      <c r="E23" s="12">
        <f>4.8+13.2*2+16.5</f>
        <v>47.7</v>
      </c>
      <c r="F23" s="10"/>
      <c r="G23" s="12"/>
      <c r="H23" s="10"/>
      <c r="I23" s="12">
        <f>18.7+16.2+30+12.1+145.5+93.7+287.3+18.3+13.1*2</f>
        <v>648</v>
      </c>
      <c r="J23" s="10"/>
      <c r="K23" s="12"/>
      <c r="L23" s="10">
        <f>2.6+1.9+4.9+2.7+2.1+4.9</f>
        <v>19.100000000000001</v>
      </c>
      <c r="M23" s="96"/>
      <c r="N23" s="13"/>
    </row>
    <row r="24" spans="1:14" s="2" customFormat="1">
      <c r="A24" s="10">
        <v>3</v>
      </c>
      <c r="B24" s="32" t="s">
        <v>126</v>
      </c>
      <c r="C24" s="12"/>
      <c r="D24" s="10"/>
      <c r="E24" s="12">
        <v>298.3</v>
      </c>
      <c r="F24" s="10"/>
      <c r="G24" s="12"/>
      <c r="H24" s="10"/>
      <c r="I24" s="12">
        <v>1028.5999999999999</v>
      </c>
      <c r="J24" s="10"/>
      <c r="K24" s="12"/>
      <c r="L24" s="10">
        <v>33.4</v>
      </c>
      <c r="M24" s="96">
        <f>SUM(C24:L24)</f>
        <v>1360.3</v>
      </c>
      <c r="N24" s="13">
        <v>1901.6</v>
      </c>
    </row>
    <row r="25" spans="1:14" s="2" customFormat="1" ht="15.75" hidden="1" customHeight="1">
      <c r="A25" s="10">
        <f>A23+1</f>
        <v>16</v>
      </c>
      <c r="B25" s="32" t="s">
        <v>11</v>
      </c>
      <c r="C25" s="12">
        <f>105.3</f>
        <v>105.3</v>
      </c>
      <c r="D25" s="10"/>
      <c r="E25" s="12">
        <f>15.1+14.1+17+17.4+13.3+16.9+3.1+13.3*2+32.3+16.1+55.8+12.6+3.9+38.2</f>
        <v>282.39999999999998</v>
      </c>
      <c r="F25" s="10"/>
      <c r="G25" s="12"/>
      <c r="H25" s="10"/>
      <c r="I25" s="12">
        <f>15.5+16.5</f>
        <v>32</v>
      </c>
      <c r="J25" s="10"/>
      <c r="K25" s="12"/>
      <c r="L25" s="10"/>
      <c r="M25" s="96"/>
      <c r="N25" s="13"/>
    </row>
    <row r="26" spans="1:14" s="2" customFormat="1" ht="15.75" hidden="1" customHeight="1">
      <c r="A26" s="10">
        <f t="shared" si="0"/>
        <v>17</v>
      </c>
      <c r="B26" s="32" t="s">
        <v>12</v>
      </c>
      <c r="C26" s="12">
        <v>14.9</v>
      </c>
      <c r="D26" s="10"/>
      <c r="E26" s="12">
        <f>15.1*2+13.8+6.6+2.7+2.6+12.8+3.2+15.1</f>
        <v>87</v>
      </c>
      <c r="F26" s="10"/>
      <c r="G26" s="12"/>
      <c r="H26" s="10"/>
      <c r="I26" s="12">
        <f>18.9+178.5+59.7+90.3+15.6+89.8+19.7+16.5*2+43.4+13.9+54.2+12.5+12.3+6.7+2.5+1.4+1.9+3.1</f>
        <v>657.40000000000009</v>
      </c>
      <c r="J26" s="10"/>
      <c r="K26" s="12"/>
      <c r="L26" s="10">
        <f>2.8+4.7+1.4+2.5</f>
        <v>11.4</v>
      </c>
      <c r="M26" s="96"/>
      <c r="N26" s="13"/>
    </row>
    <row r="27" spans="1:14" s="2" customFormat="1" ht="15.75" hidden="1" customHeight="1">
      <c r="A27" s="10">
        <f t="shared" si="0"/>
        <v>18</v>
      </c>
      <c r="B27" s="32" t="s">
        <v>13</v>
      </c>
      <c r="C27" s="12">
        <v>35</v>
      </c>
      <c r="D27" s="10"/>
      <c r="E27" s="12">
        <f>14.3+14.8*2+19.1+10.1</f>
        <v>73.100000000000009</v>
      </c>
      <c r="F27" s="10"/>
      <c r="G27" s="12"/>
      <c r="H27" s="10"/>
      <c r="I27" s="12">
        <f>19.1+567.1+9.5+43+17.1+15.6*2</f>
        <v>687.00000000000011</v>
      </c>
      <c r="J27" s="10"/>
      <c r="K27" s="12"/>
      <c r="L27" s="10"/>
      <c r="M27" s="96"/>
      <c r="N27" s="13"/>
    </row>
    <row r="28" spans="1:14" s="2" customFormat="1" ht="15.75" hidden="1" customHeight="1">
      <c r="A28" s="10">
        <f t="shared" si="0"/>
        <v>19</v>
      </c>
      <c r="B28" s="32" t="s">
        <v>14</v>
      </c>
      <c r="C28" s="12"/>
      <c r="D28" s="10"/>
      <c r="E28" s="12">
        <f>14.6+16.3+17.4+16.5+18.8+47.5</f>
        <v>131.1</v>
      </c>
      <c r="F28" s="10"/>
      <c r="G28" s="12"/>
      <c r="H28" s="10"/>
      <c r="I28" s="12">
        <f>14.8*2+19.8+34.9+536.2+16.8+64.1+12.8+15.6*2</f>
        <v>745.4</v>
      </c>
      <c r="J28" s="10"/>
      <c r="K28" s="12"/>
      <c r="L28" s="10">
        <f>1.2+3.3+1.5+1.3+2.3</f>
        <v>9.6</v>
      </c>
      <c r="M28" s="96"/>
      <c r="N28" s="13"/>
    </row>
    <row r="29" spans="1:14" s="2" customFormat="1" ht="15.75" customHeight="1">
      <c r="A29" s="10">
        <v>4</v>
      </c>
      <c r="B29" s="32" t="s">
        <v>67</v>
      </c>
      <c r="C29" s="12">
        <v>49.9</v>
      </c>
      <c r="D29" s="10"/>
      <c r="E29" s="12">
        <v>608.79999999999995</v>
      </c>
      <c r="F29" s="10"/>
      <c r="G29" s="12"/>
      <c r="H29" s="10"/>
      <c r="I29" s="12">
        <v>2015.1</v>
      </c>
      <c r="J29" s="10"/>
      <c r="K29" s="12"/>
      <c r="L29" s="10">
        <v>24.2</v>
      </c>
      <c r="M29" s="84">
        <f>SUM(C29:L29)</f>
        <v>2697.9999999999995</v>
      </c>
      <c r="N29" s="13">
        <v>2224.9</v>
      </c>
    </row>
    <row r="30" spans="1:14" s="2" customFormat="1" ht="18" hidden="1" customHeight="1">
      <c r="A30" s="10">
        <f>A28+1</f>
        <v>20</v>
      </c>
      <c r="B30" s="32" t="s">
        <v>15</v>
      </c>
      <c r="C30" s="12"/>
      <c r="D30" s="10"/>
      <c r="E30" s="12"/>
      <c r="F30" s="10"/>
      <c r="G30" s="12"/>
      <c r="H30" s="10"/>
      <c r="I30" s="12">
        <f>8.1+5.6+6*2+59.6</f>
        <v>85.3</v>
      </c>
      <c r="J30" s="10"/>
      <c r="K30" s="12"/>
      <c r="L30" s="10"/>
      <c r="M30" s="96"/>
      <c r="N30" s="13"/>
    </row>
    <row r="31" spans="1:14" s="2" customFormat="1" ht="16.5" hidden="1" customHeight="1">
      <c r="A31" s="10">
        <f t="shared" si="0"/>
        <v>21</v>
      </c>
      <c r="B31" s="32" t="s">
        <v>16</v>
      </c>
      <c r="C31" s="12"/>
      <c r="D31" s="10"/>
      <c r="E31" s="12">
        <v>35.6</v>
      </c>
      <c r="F31" s="10"/>
      <c r="G31" s="12"/>
      <c r="H31" s="10"/>
      <c r="I31" s="12">
        <f>4.7+12+24.9+6.4+4+21.2+25.8+288.5+35.7+68.2+35.6</f>
        <v>527</v>
      </c>
      <c r="J31" s="10"/>
      <c r="K31" s="12"/>
      <c r="L31" s="10">
        <f>1.2+1</f>
        <v>2.2000000000000002</v>
      </c>
      <c r="M31" s="96"/>
      <c r="N31" s="13"/>
    </row>
    <row r="32" spans="1:14" s="2" customFormat="1" ht="17.25" hidden="1" customHeight="1">
      <c r="A32" s="10">
        <f t="shared" si="0"/>
        <v>22</v>
      </c>
      <c r="B32" s="32" t="s">
        <v>17</v>
      </c>
      <c r="C32" s="12">
        <f>17.7+99.1+28.7</f>
        <v>145.5</v>
      </c>
      <c r="D32" s="10"/>
      <c r="E32" s="12">
        <f>5.8+17.4</f>
        <v>23.2</v>
      </c>
      <c r="F32" s="10"/>
      <c r="G32" s="12"/>
      <c r="H32" s="10"/>
      <c r="I32" s="12"/>
      <c r="J32" s="10"/>
      <c r="K32" s="12"/>
      <c r="L32" s="10"/>
      <c r="M32" s="96"/>
      <c r="N32" s="13"/>
    </row>
    <row r="33" spans="1:14" s="2" customFormat="1" ht="17.25" customHeight="1">
      <c r="A33" s="10">
        <v>5</v>
      </c>
      <c r="B33" s="32" t="s">
        <v>68</v>
      </c>
      <c r="C33" s="12">
        <f>SUM(C30:C32)</f>
        <v>145.5</v>
      </c>
      <c r="D33" s="10"/>
      <c r="E33" s="12">
        <v>56.5</v>
      </c>
      <c r="F33" s="10"/>
      <c r="G33" s="12"/>
      <c r="H33" s="10"/>
      <c r="I33" s="12">
        <v>619.79999999999995</v>
      </c>
      <c r="J33" s="10"/>
      <c r="K33" s="12"/>
      <c r="L33" s="10">
        <f>SUM(L30:L32)</f>
        <v>2.2000000000000002</v>
      </c>
      <c r="M33" s="84">
        <f>SUM(C33:L33)</f>
        <v>824</v>
      </c>
      <c r="N33" s="13">
        <v>933.3</v>
      </c>
    </row>
    <row r="34" spans="1:14" s="2" customFormat="1" hidden="1">
      <c r="A34" s="10">
        <f>A32+1</f>
        <v>23</v>
      </c>
      <c r="B34" s="32" t="s">
        <v>63</v>
      </c>
      <c r="C34" s="12"/>
      <c r="D34" s="10"/>
      <c r="E34" s="12">
        <f>29.2+9.9+34.6+2.8</f>
        <v>76.5</v>
      </c>
      <c r="F34" s="10"/>
      <c r="G34" s="12"/>
      <c r="H34" s="10"/>
      <c r="I34" s="12">
        <f>25.7*2+3.8*2+11.8*2+10+11.7+32.7*2+34.8+35+34.8+29+11.4+16.7+3.7+1.1+2.2+3.1+5.9+9.9*2+9.8*2+9.9*2</f>
        <v>406.6</v>
      </c>
      <c r="J34" s="10"/>
      <c r="K34" s="12"/>
      <c r="L34" s="10">
        <f>3.4+2.2+2.2+2.2</f>
        <v>10</v>
      </c>
      <c r="M34" s="96"/>
      <c r="N34" s="13"/>
    </row>
    <row r="35" spans="1:14" s="2" customFormat="1" hidden="1">
      <c r="A35" s="10">
        <f t="shared" si="0"/>
        <v>24</v>
      </c>
      <c r="B35" s="32" t="s">
        <v>64</v>
      </c>
      <c r="C35" s="12"/>
      <c r="D35" s="10"/>
      <c r="E35" s="12">
        <v>74.400000000000006</v>
      </c>
      <c r="F35" s="10"/>
      <c r="G35" s="12"/>
      <c r="H35" s="10"/>
      <c r="I35" s="12">
        <f>25*2+20.7+4.1*2+11.7*2+36.1+34.6+34.8+34.5+28.6+28.7+21.8+9.5*2+9.6*2+9.5*2</f>
        <v>378.6</v>
      </c>
      <c r="J35" s="10"/>
      <c r="K35" s="12"/>
      <c r="L35" s="10">
        <f>1.4+1.6+4</f>
        <v>7</v>
      </c>
      <c r="M35" s="96"/>
      <c r="N35" s="13"/>
    </row>
    <row r="36" spans="1:14" s="2" customFormat="1">
      <c r="A36" s="10">
        <v>6</v>
      </c>
      <c r="B36" s="32" t="s">
        <v>69</v>
      </c>
      <c r="C36" s="12"/>
      <c r="D36" s="10"/>
      <c r="E36" s="12">
        <v>148.1</v>
      </c>
      <c r="F36" s="10"/>
      <c r="G36" s="12"/>
      <c r="H36" s="10"/>
      <c r="I36" s="12">
        <v>529.20000000000005</v>
      </c>
      <c r="J36" s="10"/>
      <c r="K36" s="12"/>
      <c r="L36" s="10">
        <v>33</v>
      </c>
      <c r="M36" s="96">
        <f>SUM(C36:L36)</f>
        <v>710.30000000000007</v>
      </c>
      <c r="N36" s="13">
        <v>5702</v>
      </c>
    </row>
    <row r="37" spans="1:14" s="2" customFormat="1" ht="17.25" hidden="1" customHeight="1">
      <c r="A37" s="10">
        <f>A35+1</f>
        <v>25</v>
      </c>
      <c r="B37" s="32" t="s">
        <v>18</v>
      </c>
      <c r="C37" s="12"/>
      <c r="D37" s="10"/>
      <c r="E37" s="12"/>
      <c r="F37" s="10"/>
      <c r="G37" s="12"/>
      <c r="H37" s="10"/>
      <c r="I37" s="12">
        <f>10+9.1+16.7+1.4+14.5+36.6+5.1+3.2+5.2+2.8+2*2+16.8+32.6+35.8+23.2*2+10.9*2+10.7*2+13.6</f>
        <v>297</v>
      </c>
      <c r="J37" s="10"/>
      <c r="K37" s="12"/>
      <c r="L37" s="10"/>
      <c r="M37" s="96"/>
      <c r="N37" s="13"/>
    </row>
    <row r="38" spans="1:14" s="2" customFormat="1" ht="15.75" hidden="1" customHeight="1">
      <c r="A38" s="10">
        <f t="shared" si="0"/>
        <v>26</v>
      </c>
      <c r="B38" s="32" t="s">
        <v>19</v>
      </c>
      <c r="C38" s="12">
        <f>17.8+18+17.1+67.1+45.8+68.7+181.3+17.8+53.8</f>
        <v>487.40000000000003</v>
      </c>
      <c r="D38" s="10"/>
      <c r="E38" s="12">
        <f>20.8+13.8+104.7</f>
        <v>139.30000000000001</v>
      </c>
      <c r="F38" s="10"/>
      <c r="G38" s="12"/>
      <c r="H38" s="10"/>
      <c r="I38" s="12">
        <f>36+56.6+15.2+27*2+33.2+32.4</f>
        <v>227.4</v>
      </c>
      <c r="J38" s="10"/>
      <c r="K38" s="12"/>
      <c r="L38" s="10"/>
      <c r="M38" s="96"/>
      <c r="N38" s="13"/>
    </row>
    <row r="39" spans="1:14" s="2" customFormat="1" ht="18" hidden="1" customHeight="1">
      <c r="A39" s="10">
        <f t="shared" si="0"/>
        <v>27</v>
      </c>
      <c r="B39" s="32" t="s">
        <v>19</v>
      </c>
      <c r="C39" s="12"/>
      <c r="D39" s="10"/>
      <c r="E39" s="12"/>
      <c r="F39" s="10"/>
      <c r="G39" s="12"/>
      <c r="H39" s="10"/>
      <c r="I39" s="12">
        <f>14.5+13.4+72.7+24.4+22.4+30+31.5+10.8+2.4+1.5+13.6+12.3+22.4*2+7.5+9.1*2</f>
        <v>320</v>
      </c>
      <c r="J39" s="10"/>
      <c r="K39" s="12"/>
      <c r="L39" s="10">
        <f>3.8*3</f>
        <v>11.399999999999999</v>
      </c>
      <c r="M39" s="96"/>
      <c r="N39" s="13"/>
    </row>
    <row r="40" spans="1:14" s="2" customFormat="1" ht="19.5" hidden="1" customHeight="1">
      <c r="A40" s="10">
        <f t="shared" si="0"/>
        <v>28</v>
      </c>
      <c r="B40" s="32" t="s">
        <v>22</v>
      </c>
      <c r="C40" s="12"/>
      <c r="D40" s="10"/>
      <c r="E40" s="12">
        <f>8.6+8.4+10.2+21.1+14+35.1+35+14*2+13.4*2</f>
        <v>187.20000000000002</v>
      </c>
      <c r="F40" s="10"/>
      <c r="G40" s="12"/>
      <c r="H40" s="10"/>
      <c r="I40" s="12">
        <f>13.4*2+37.3+17.7+24.9+17.5+18.9+16.8</f>
        <v>159.9</v>
      </c>
      <c r="J40" s="10"/>
      <c r="K40" s="12"/>
      <c r="L40" s="10">
        <f>4.6+4.7+4.6</f>
        <v>13.9</v>
      </c>
      <c r="M40" s="96"/>
      <c r="N40" s="13"/>
    </row>
    <row r="41" spans="1:14" s="2" customFormat="1" ht="15" hidden="1" customHeight="1">
      <c r="A41" s="10">
        <f t="shared" si="0"/>
        <v>29</v>
      </c>
      <c r="B41" s="32" t="s">
        <v>20</v>
      </c>
      <c r="C41" s="12">
        <f>18.2</f>
        <v>18.2</v>
      </c>
      <c r="D41" s="10"/>
      <c r="E41" s="12">
        <f>9.2+21.3+14.1*2+27.2+7.8</f>
        <v>93.7</v>
      </c>
      <c r="F41" s="10"/>
      <c r="G41" s="12"/>
      <c r="H41" s="10"/>
      <c r="I41" s="12">
        <f>36.8+2.6+5.6+4.6+13.4*2+17.7+20.9+16.9+19.3+17.4+54+37.5+62.6+323.1+35.7</f>
        <v>681.50000000000011</v>
      </c>
      <c r="J41" s="10"/>
      <c r="K41" s="12"/>
      <c r="L41" s="10">
        <v>4.7</v>
      </c>
      <c r="M41" s="96"/>
      <c r="N41" s="13"/>
    </row>
    <row r="42" spans="1:14" s="2" customFormat="1" ht="15.75" hidden="1" customHeight="1">
      <c r="A42" s="10">
        <f t="shared" si="0"/>
        <v>30</v>
      </c>
      <c r="B42" s="32" t="s">
        <v>21</v>
      </c>
      <c r="C42" s="12"/>
      <c r="D42" s="10"/>
      <c r="E42" s="12">
        <f>33.4+18.9+17.6+11.9+21+5.9+2.8+4.3+14*2</f>
        <v>143.80000000000001</v>
      </c>
      <c r="F42" s="10"/>
      <c r="G42" s="12"/>
      <c r="H42" s="10"/>
      <c r="I42" s="12">
        <f>13.4*2+17.7+35.7+18.1+17+16.2+15.5+15.6+209+42.6+90.3+122.6+62</f>
        <v>689.1</v>
      </c>
      <c r="J42" s="10"/>
      <c r="K42" s="12"/>
      <c r="L42" s="10">
        <f>4.6+4.6+4.8</f>
        <v>14</v>
      </c>
      <c r="M42" s="96"/>
      <c r="N42" s="13"/>
    </row>
    <row r="43" spans="1:14" s="2" customFormat="1" ht="15.75" customHeight="1">
      <c r="A43" s="10">
        <v>7</v>
      </c>
      <c r="B43" s="32" t="s">
        <v>70</v>
      </c>
      <c r="C43" s="12"/>
      <c r="D43" s="10"/>
      <c r="E43" s="12">
        <v>744.9</v>
      </c>
      <c r="F43" s="10"/>
      <c r="G43" s="12"/>
      <c r="H43" s="10"/>
      <c r="I43" s="12">
        <v>2206.8000000000002</v>
      </c>
      <c r="J43" s="10"/>
      <c r="K43" s="12"/>
      <c r="L43" s="10">
        <v>94.9</v>
      </c>
      <c r="M43" s="84">
        <f>SUM(C43:L43)</f>
        <v>3046.6000000000004</v>
      </c>
      <c r="N43" s="13">
        <v>1868</v>
      </c>
    </row>
    <row r="44" spans="1:14" s="2" customFormat="1" hidden="1">
      <c r="A44" s="10">
        <f>A42+1</f>
        <v>31</v>
      </c>
      <c r="B44" s="32" t="s">
        <v>23</v>
      </c>
      <c r="C44" s="12">
        <f>18.6+51.4+3.4</f>
        <v>73.400000000000006</v>
      </c>
      <c r="D44" s="10"/>
      <c r="E44" s="12">
        <f>13.9*2+14.6+16.9+14.2+14+17.8+62.1+3.2+2.7+45.6+29.6+33.3</f>
        <v>281.79999999999995</v>
      </c>
      <c r="F44" s="10"/>
      <c r="G44" s="12"/>
      <c r="H44" s="10"/>
      <c r="I44" s="12">
        <f>54.1+102.6+26+16.5+16.7+13.4*2</f>
        <v>242.7</v>
      </c>
      <c r="J44" s="10"/>
      <c r="K44" s="12"/>
      <c r="L44" s="10"/>
      <c r="M44" s="84">
        <f t="shared" ref="M44:M50" si="1">SUM(C44:L44)</f>
        <v>597.89999999999986</v>
      </c>
      <c r="N44" s="13"/>
    </row>
    <row r="45" spans="1:14" s="2" customFormat="1" hidden="1">
      <c r="A45" s="10">
        <f t="shared" si="0"/>
        <v>32</v>
      </c>
      <c r="B45" s="32" t="s">
        <v>25</v>
      </c>
      <c r="C45" s="12"/>
      <c r="D45" s="10"/>
      <c r="E45" s="12">
        <f>19.7+13.4</f>
        <v>33.1</v>
      </c>
      <c r="F45" s="10"/>
      <c r="G45" s="12"/>
      <c r="H45" s="10"/>
      <c r="I45" s="12">
        <f>66.3+4.8+13+18.5+25.4</f>
        <v>128</v>
      </c>
      <c r="J45" s="10"/>
      <c r="K45" s="12"/>
      <c r="L45" s="10">
        <f>3.3+3.3+1.4+1.4</f>
        <v>9.4</v>
      </c>
      <c r="M45" s="84">
        <f t="shared" si="1"/>
        <v>170.5</v>
      </c>
      <c r="N45" s="13"/>
    </row>
    <row r="46" spans="1:14" s="2" customFormat="1" hidden="1">
      <c r="A46" s="10">
        <f t="shared" si="0"/>
        <v>33</v>
      </c>
      <c r="B46" s="32" t="s">
        <v>24</v>
      </c>
      <c r="C46" s="12"/>
      <c r="D46" s="10"/>
      <c r="E46" s="12"/>
      <c r="F46" s="10"/>
      <c r="G46" s="12"/>
      <c r="H46" s="10"/>
      <c r="I46" s="12"/>
      <c r="J46" s="10"/>
      <c r="K46" s="12"/>
      <c r="L46" s="10"/>
      <c r="M46" s="84">
        <f t="shared" si="1"/>
        <v>0</v>
      </c>
      <c r="N46" s="13"/>
    </row>
    <row r="47" spans="1:14" s="2" customFormat="1" hidden="1">
      <c r="A47" s="10">
        <f t="shared" si="0"/>
        <v>34</v>
      </c>
      <c r="B47" s="32" t="s">
        <v>24</v>
      </c>
      <c r="C47" s="12">
        <f>48.8</f>
        <v>48.8</v>
      </c>
      <c r="D47" s="10"/>
      <c r="E47" s="12"/>
      <c r="F47" s="10"/>
      <c r="G47" s="12"/>
      <c r="H47" s="10"/>
      <c r="I47" s="12">
        <f>4+13.1*2+15.5*2+48.9+13.9*2+13.8+10.4+10.4+18.8+19.2+19.2+7.8+34.8+38.9+10.9+7.8+5.4+30.4+3.2+2+19.4+6.6</f>
        <v>396.89999999999992</v>
      </c>
      <c r="J47" s="10"/>
      <c r="K47" s="12"/>
      <c r="L47" s="10">
        <f>1.3+1.3+1.4+1.4</f>
        <v>5.4</v>
      </c>
      <c r="M47" s="84">
        <f t="shared" si="1"/>
        <v>451.09999999999991</v>
      </c>
      <c r="N47" s="13"/>
    </row>
    <row r="48" spans="1:14" s="2" customFormat="1" hidden="1">
      <c r="A48" s="10">
        <f t="shared" si="0"/>
        <v>35</v>
      </c>
      <c r="B48" s="32" t="s">
        <v>48</v>
      </c>
      <c r="C48" s="12"/>
      <c r="D48" s="10"/>
      <c r="E48" s="12"/>
      <c r="F48" s="10"/>
      <c r="G48" s="12"/>
      <c r="H48" s="10"/>
      <c r="I48" s="12">
        <f>14.9+17.8+17.9+17.7+17.4+17.7+17.9+31.1+71+38.2+11+7.8+20.4+2.8+3.4+2+1.7+2.8+7+13.4*2+18.5+12.3+12.4+5+37.7+17.1+20.8+36.2+17.3+17.4+18.9+17+17.4+89</f>
        <v>684.29999999999984</v>
      </c>
      <c r="J48" s="10"/>
      <c r="K48" s="12"/>
      <c r="L48" s="10">
        <f>2.7+2.2+1.6</f>
        <v>6.5</v>
      </c>
      <c r="M48" s="84">
        <f t="shared" si="1"/>
        <v>690.79999999999984</v>
      </c>
      <c r="N48" s="13"/>
    </row>
    <row r="49" spans="1:14" s="2" customFormat="1" hidden="1">
      <c r="A49" s="10">
        <f t="shared" si="0"/>
        <v>36</v>
      </c>
      <c r="B49" s="32" t="s">
        <v>26</v>
      </c>
      <c r="C49" s="12">
        <f>13.9*2+4.9+3.7+2.4+12+16.6+18.9+36.9</f>
        <v>123.20000000000002</v>
      </c>
      <c r="D49" s="10"/>
      <c r="E49" s="12"/>
      <c r="F49" s="10"/>
      <c r="G49" s="12"/>
      <c r="H49" s="10"/>
      <c r="I49" s="12">
        <f>117+91.5+16.8+16.2+9.2+6.7+35.4+13.4*2+18.5+57.2+53.6+208.1+35+19.3</f>
        <v>711.3</v>
      </c>
      <c r="J49" s="10"/>
      <c r="K49" s="12"/>
      <c r="L49" s="10">
        <f>3.5+1.4+2+2.9</f>
        <v>9.8000000000000007</v>
      </c>
      <c r="M49" s="84">
        <f t="shared" si="1"/>
        <v>844.3</v>
      </c>
      <c r="N49" s="13"/>
    </row>
    <row r="50" spans="1:14" s="2" customFormat="1">
      <c r="A50" s="10">
        <v>8</v>
      </c>
      <c r="B50" s="32" t="s">
        <v>160</v>
      </c>
      <c r="C50" s="12"/>
      <c r="D50" s="10"/>
      <c r="E50" s="12"/>
      <c r="F50" s="10"/>
      <c r="G50" s="12"/>
      <c r="H50" s="10"/>
      <c r="I50" s="12">
        <v>48</v>
      </c>
      <c r="J50" s="10"/>
      <c r="K50" s="12"/>
      <c r="L50" s="10"/>
      <c r="M50" s="84">
        <f t="shared" si="1"/>
        <v>48</v>
      </c>
      <c r="N50" s="13"/>
    </row>
    <row r="51" spans="1:14" s="2" customFormat="1">
      <c r="A51" s="10">
        <v>9</v>
      </c>
      <c r="B51" s="32" t="s">
        <v>71</v>
      </c>
      <c r="C51" s="12">
        <v>151.1</v>
      </c>
      <c r="D51" s="10"/>
      <c r="E51" s="12">
        <v>350</v>
      </c>
      <c r="F51" s="10"/>
      <c r="G51" s="12"/>
      <c r="H51" s="10"/>
      <c r="I51" s="12">
        <v>1697.4</v>
      </c>
      <c r="J51" s="10"/>
      <c r="K51" s="12"/>
      <c r="L51" s="10">
        <v>40.1</v>
      </c>
      <c r="M51" s="96">
        <f>SUM(C51:L51)</f>
        <v>2238.6</v>
      </c>
      <c r="N51" s="13">
        <v>2942</v>
      </c>
    </row>
    <row r="52" spans="1:14" s="2" customFormat="1" hidden="1">
      <c r="A52" s="10">
        <f>A49+1</f>
        <v>37</v>
      </c>
      <c r="B52" s="32" t="s">
        <v>27</v>
      </c>
      <c r="C52" s="12"/>
      <c r="D52" s="10"/>
      <c r="E52" s="12">
        <v>144</v>
      </c>
      <c r="F52" s="10"/>
      <c r="G52" s="12"/>
      <c r="H52" s="10"/>
      <c r="I52" s="12">
        <f>12.5*2+17.2+70.3+27.8+18.9+17.5+17.5+17.5+108+26.8+13.5*2+113.6+144</f>
        <v>631.1</v>
      </c>
      <c r="J52" s="10"/>
      <c r="K52" s="12"/>
      <c r="L52" s="10">
        <f>1.4+1.4+1.4+3+3+3</f>
        <v>13.2</v>
      </c>
      <c r="M52" s="96"/>
      <c r="N52" s="13"/>
    </row>
    <row r="53" spans="1:14" s="2" customFormat="1" hidden="1">
      <c r="A53" s="10">
        <f t="shared" si="0"/>
        <v>38</v>
      </c>
      <c r="B53" s="32" t="s">
        <v>28</v>
      </c>
      <c r="C53" s="12"/>
      <c r="D53" s="10"/>
      <c r="E53" s="12"/>
      <c r="F53" s="10"/>
      <c r="G53" s="12"/>
      <c r="H53" s="10"/>
      <c r="I53" s="12">
        <f>12.5+17.2+35.5+35.5+17.6+90+16+11+88.9+117+2.6+13.4+4.56+3.7+6.2+10.5+113.6+215+36+18</f>
        <v>864.76</v>
      </c>
      <c r="J53" s="10"/>
      <c r="K53" s="12"/>
      <c r="L53" s="10">
        <f>1.3+1.4+1.4+3.4+3.4+3.4</f>
        <v>14.3</v>
      </c>
      <c r="M53" s="96"/>
      <c r="N53" s="13"/>
    </row>
    <row r="54" spans="1:14" s="2" customFormat="1" hidden="1">
      <c r="A54" s="10">
        <f t="shared" si="0"/>
        <v>39</v>
      </c>
      <c r="B54" s="32" t="s">
        <v>29</v>
      </c>
      <c r="C54" s="12">
        <v>104.7</v>
      </c>
      <c r="D54" s="10"/>
      <c r="E54" s="12"/>
      <c r="F54" s="10"/>
      <c r="G54" s="12"/>
      <c r="H54" s="10"/>
      <c r="I54" s="12"/>
      <c r="J54" s="10"/>
      <c r="K54" s="12"/>
      <c r="L54" s="10"/>
      <c r="M54" s="96"/>
      <c r="N54" s="13"/>
    </row>
    <row r="55" spans="1:14" s="2" customFormat="1">
      <c r="A55" s="10">
        <v>10</v>
      </c>
      <c r="B55" s="32" t="s">
        <v>151</v>
      </c>
      <c r="C55" s="12"/>
      <c r="D55" s="10"/>
      <c r="E55" s="12">
        <v>310.10000000000002</v>
      </c>
      <c r="F55" s="10"/>
      <c r="G55" s="12"/>
      <c r="H55" s="10"/>
      <c r="I55" s="12">
        <v>705.6</v>
      </c>
      <c r="J55" s="10"/>
      <c r="K55" s="12"/>
      <c r="L55" s="10">
        <v>13.2</v>
      </c>
      <c r="M55" s="96">
        <f>SUM(C55:L55)</f>
        <v>1028.9000000000001</v>
      </c>
      <c r="N55" s="13"/>
    </row>
    <row r="56" spans="1:14" s="2" customFormat="1" ht="33" hidden="1">
      <c r="A56" s="10">
        <f>A54+1</f>
        <v>40</v>
      </c>
      <c r="B56" s="32" t="s">
        <v>56</v>
      </c>
      <c r="C56" s="12">
        <f>33.6+34.2+107+47.1+51.8+165.5+18.8+47.5+73.2+18.2+13.5</f>
        <v>610.40000000000009</v>
      </c>
      <c r="D56" s="10"/>
      <c r="E56" s="12">
        <f>32.8+18.8+28.7+36.8</f>
        <v>117.1</v>
      </c>
      <c r="F56" s="10"/>
      <c r="G56" s="12"/>
      <c r="H56" s="10"/>
      <c r="I56" s="12">
        <f>13*2+28.9+9.3+4.4+3.5+11.8+5.1+10.7+42.5+14.3+22.8+59+3.5</f>
        <v>241.8</v>
      </c>
      <c r="J56" s="10"/>
      <c r="K56" s="12"/>
      <c r="L56" s="10"/>
      <c r="M56" s="96"/>
      <c r="N56" s="13"/>
    </row>
    <row r="57" spans="1:14" s="2" customFormat="1" ht="33" hidden="1">
      <c r="A57" s="10">
        <f t="shared" si="0"/>
        <v>41</v>
      </c>
      <c r="B57" s="32" t="s">
        <v>57</v>
      </c>
      <c r="C57" s="12"/>
      <c r="D57" s="10"/>
      <c r="E57" s="12">
        <f>57.1+6.9+55+13.4*2</f>
        <v>145.80000000000001</v>
      </c>
      <c r="F57" s="10"/>
      <c r="G57" s="12"/>
      <c r="H57" s="10"/>
      <c r="I57" s="12">
        <f>13.8*2+16.7+5+26.5+16.1+16+34+36.5+16.9+114.5+27.8</f>
        <v>337.6</v>
      </c>
      <c r="J57" s="10"/>
      <c r="K57" s="12"/>
      <c r="L57" s="10">
        <f>1.7+1.6+2.4+2.7</f>
        <v>8.3999999999999986</v>
      </c>
      <c r="M57" s="96"/>
      <c r="N57" s="13"/>
    </row>
    <row r="58" spans="1:14" s="2" customFormat="1" ht="33" hidden="1">
      <c r="A58" s="10">
        <f t="shared" si="0"/>
        <v>42</v>
      </c>
      <c r="B58" s="32" t="s">
        <v>58</v>
      </c>
      <c r="C58" s="12">
        <v>56.5</v>
      </c>
      <c r="D58" s="10"/>
      <c r="E58" s="12">
        <f>16.2+13.4</f>
        <v>29.6</v>
      </c>
      <c r="F58" s="10"/>
      <c r="G58" s="12"/>
      <c r="H58" s="10"/>
      <c r="I58" s="12">
        <f>13.8*2+4.1+2.2+5.3+3.4+17.8+18.4+53.7+536.2+55.3+11.3+20.8</f>
        <v>756.09999999999991</v>
      </c>
      <c r="J58" s="10"/>
      <c r="K58" s="12"/>
      <c r="L58" s="10">
        <f>5.3+2.5</f>
        <v>7.8</v>
      </c>
      <c r="M58" s="96"/>
      <c r="N58" s="13"/>
    </row>
    <row r="59" spans="1:14" s="2" customFormat="1" ht="33" hidden="1">
      <c r="A59" s="10">
        <f t="shared" si="0"/>
        <v>43</v>
      </c>
      <c r="B59" s="32" t="s">
        <v>59</v>
      </c>
      <c r="C59" s="12">
        <f>5.9+11.2</f>
        <v>17.100000000000001</v>
      </c>
      <c r="D59" s="10"/>
      <c r="E59" s="12">
        <f>18.8+17.9+12.5+90.2+122+13.4+3</f>
        <v>277.79999999999995</v>
      </c>
      <c r="F59" s="10"/>
      <c r="G59" s="12"/>
      <c r="H59" s="10"/>
      <c r="I59" s="12">
        <f>13.8*2+18.1+36.3+34.5+16.4+16.6+16.9+18.4+96.1+215.3+36.1+18.3+17.1</f>
        <v>567.69999999999993</v>
      </c>
      <c r="J59" s="10"/>
      <c r="K59" s="12"/>
      <c r="L59" s="10">
        <f>4.6*3</f>
        <v>13.799999999999999</v>
      </c>
      <c r="M59" s="96"/>
      <c r="N59" s="13"/>
    </row>
    <row r="60" spans="1:14" s="2" customFormat="1" ht="33" hidden="1">
      <c r="A60" s="10">
        <f t="shared" si="0"/>
        <v>44</v>
      </c>
      <c r="B60" s="32" t="s">
        <v>60</v>
      </c>
      <c r="C60" s="12">
        <v>8.3000000000000007</v>
      </c>
      <c r="D60" s="10"/>
      <c r="E60" s="12">
        <f>13.4*2+9+46.9+9.8</f>
        <v>92.499999999999986</v>
      </c>
      <c r="F60" s="10"/>
      <c r="G60" s="12"/>
      <c r="H60" s="10"/>
      <c r="I60" s="12">
        <f>13.8*2+40.9+8.4+17.8+18.1+17.1+18.5+18.2+603.6+33.6</f>
        <v>803.80000000000007</v>
      </c>
      <c r="J60" s="10"/>
      <c r="K60" s="12"/>
      <c r="L60" s="10">
        <f>5+4.6+4.6</f>
        <v>14.2</v>
      </c>
      <c r="M60" s="96"/>
      <c r="N60" s="13"/>
    </row>
    <row r="61" spans="1:14" s="2" customFormat="1">
      <c r="A61" s="10">
        <v>11</v>
      </c>
      <c r="B61" s="32" t="s">
        <v>72</v>
      </c>
      <c r="C61" s="12">
        <v>8.3000000000000007</v>
      </c>
      <c r="D61" s="10"/>
      <c r="E61" s="12">
        <v>1266.7</v>
      </c>
      <c r="F61" s="10"/>
      <c r="G61" s="12"/>
      <c r="H61" s="10"/>
      <c r="I61" s="12">
        <v>2366.5</v>
      </c>
      <c r="J61" s="10"/>
      <c r="K61" s="12"/>
      <c r="L61" s="10">
        <v>64.2</v>
      </c>
      <c r="M61" s="96">
        <f>SUM(C61:L61)</f>
        <v>3705.7</v>
      </c>
      <c r="N61" s="13"/>
    </row>
    <row r="62" spans="1:14" s="2" customFormat="1" hidden="1">
      <c r="A62" s="10">
        <f>A60+1</f>
        <v>45</v>
      </c>
      <c r="B62" s="32" t="s">
        <v>30</v>
      </c>
      <c r="C62" s="12">
        <f>302.9+35.1+53.2+32.3+121.5</f>
        <v>545</v>
      </c>
      <c r="D62" s="10"/>
      <c r="E62" s="12">
        <f>5.9+10.1+106.6+17.5+20.7+58.6</f>
        <v>219.39999999999998</v>
      </c>
      <c r="F62" s="10"/>
      <c r="G62" s="12"/>
      <c r="H62" s="10"/>
      <c r="I62" s="12">
        <f>69.7+5.4+1.4+1.5+8.4+32.6+79+9.3+6.6+9.3+5.8+6.4</f>
        <v>235.40000000000006</v>
      </c>
      <c r="J62" s="10"/>
      <c r="K62" s="12"/>
      <c r="L62" s="10">
        <f>1.4+1.4+1.3+1.4+1.5+1.5</f>
        <v>8.5</v>
      </c>
      <c r="M62" s="96"/>
      <c r="N62" s="13"/>
    </row>
    <row r="63" spans="1:14" s="2" customFormat="1" hidden="1">
      <c r="A63" s="10">
        <f t="shared" si="0"/>
        <v>46</v>
      </c>
      <c r="B63" s="32" t="s">
        <v>31</v>
      </c>
      <c r="C63" s="12">
        <f>52.5+51.5+6+18.3</f>
        <v>128.30000000000001</v>
      </c>
      <c r="D63" s="10"/>
      <c r="E63" s="12">
        <f>14+16.9+5.6+73.6+147.9+9.5+5.8+21.2</f>
        <v>294.5</v>
      </c>
      <c r="F63" s="10"/>
      <c r="G63" s="12"/>
      <c r="H63" s="10"/>
      <c r="I63" s="12">
        <f>33.4+35.5+90.9*2+37.9+13.7*2+17.2+17.5+42.3+5.5+10.6+19.7+115.4+18.3+18.4+18.4+51.1*2+16.6*2+4.4*2+12.3*2</f>
        <v>768.1</v>
      </c>
      <c r="J63" s="10"/>
      <c r="K63" s="12"/>
      <c r="L63" s="10">
        <f>6.1+2.2+1.3+3.2+1.2+1.3</f>
        <v>15.3</v>
      </c>
      <c r="M63" s="96"/>
      <c r="N63" s="13"/>
    </row>
    <row r="64" spans="1:14" s="2" customFormat="1" hidden="1">
      <c r="A64" s="10">
        <f t="shared" si="0"/>
        <v>47</v>
      </c>
      <c r="B64" s="32" t="s">
        <v>32</v>
      </c>
      <c r="C64" s="12"/>
      <c r="D64" s="10"/>
      <c r="E64" s="12">
        <f>(17.2+50.7)/2</f>
        <v>33.950000000000003</v>
      </c>
      <c r="F64" s="10"/>
      <c r="G64" s="12"/>
      <c r="H64" s="10"/>
      <c r="I64" s="12">
        <f>(33.4*2+35.1+18.1+9.3+20.7+4.2+9.3+26.4+18.1+17.3+16+19.1+18.2+16.8+12.2+16.6*2+185.7+6.3+7.9+2.2+1.2+2.4+2.8+1.9+3.4+51.1+87.5+13.1+49.6+37.4+2.3+2.4+3.2+3.4+104.3)/2</f>
        <v>454.44999999999993</v>
      </c>
      <c r="J64" s="10"/>
      <c r="K64" s="12"/>
      <c r="L64" s="10">
        <f>(3.1+1.2+1.3)/2</f>
        <v>2.8</v>
      </c>
      <c r="M64" s="96"/>
      <c r="N64" s="13"/>
    </row>
    <row r="65" spans="1:14" s="2" customFormat="1" hidden="1">
      <c r="A65" s="10">
        <f t="shared" si="0"/>
        <v>48</v>
      </c>
      <c r="B65" s="32" t="s">
        <v>32</v>
      </c>
      <c r="C65" s="12"/>
      <c r="D65" s="10"/>
      <c r="E65" s="12">
        <f>(17.2+50.7)/2</f>
        <v>33.950000000000003</v>
      </c>
      <c r="F65" s="10"/>
      <c r="G65" s="12"/>
      <c r="H65" s="10"/>
      <c r="I65" s="12">
        <f>(33.4*2+35.1+18.1+9.3+20.7+4.2+9.3+26.4+18.1+17.3+16+19.1+18.2+16.8+12.2+16.6*2+185.7+6.3+7.9+2.2+1.2+2.4+2.8+1.9+3.4+51.1+87.5+13.1+49.6+37.4+2.3+2.4+3.2+3.4+104.3)/2</f>
        <v>454.44999999999993</v>
      </c>
      <c r="J65" s="10"/>
      <c r="K65" s="12"/>
      <c r="L65" s="10">
        <f>(3.1+1.2+1.3)/2</f>
        <v>2.8</v>
      </c>
      <c r="M65" s="96"/>
      <c r="N65" s="13"/>
    </row>
    <row r="66" spans="1:14" s="2" customFormat="1" hidden="1">
      <c r="A66" s="10">
        <f t="shared" si="0"/>
        <v>49</v>
      </c>
      <c r="B66" s="32" t="s">
        <v>33</v>
      </c>
      <c r="C66" s="12"/>
      <c r="D66" s="10"/>
      <c r="E66" s="12">
        <f>10.8/2</f>
        <v>5.4</v>
      </c>
      <c r="F66" s="10"/>
      <c r="G66" s="12"/>
      <c r="H66" s="10"/>
      <c r="I66" s="12">
        <f>(33.4+4.4+26.9+31.8+308.9+436.6+69.5+18.2+24.8+16.6*2+41.1+6.4)/2</f>
        <v>517.6</v>
      </c>
      <c r="J66" s="10"/>
      <c r="K66" s="12"/>
      <c r="L66" s="10">
        <f>(2.5+1.2+1.2+2.1+2.8+2.1+2.7)/2</f>
        <v>7.3000000000000007</v>
      </c>
      <c r="M66" s="96"/>
      <c r="N66" s="13"/>
    </row>
    <row r="67" spans="1:14" s="2" customFormat="1" hidden="1">
      <c r="A67" s="10">
        <f t="shared" si="0"/>
        <v>50</v>
      </c>
      <c r="B67" s="32" t="s">
        <v>35</v>
      </c>
      <c r="C67" s="12"/>
      <c r="D67" s="10"/>
      <c r="E67" s="12">
        <f>10.8+33.4+6.4+18.7</f>
        <v>69.3</v>
      </c>
      <c r="F67" s="10"/>
      <c r="G67" s="12"/>
      <c r="H67" s="10"/>
      <c r="I67" s="12">
        <f>34.6+34.5+26.9+16.6*2+8.1+37.1+3.7</f>
        <v>178.09999999999997</v>
      </c>
      <c r="J67" s="10"/>
      <c r="K67" s="12"/>
      <c r="L67" s="10">
        <f>3.7+0.9+0.9+2.4+1.4+1.3+1.3+3.9</f>
        <v>15.800000000000002</v>
      </c>
      <c r="M67" s="96"/>
      <c r="N67" s="13"/>
    </row>
    <row r="68" spans="1:14" s="2" customFormat="1" hidden="1">
      <c r="A68" s="10">
        <f t="shared" si="0"/>
        <v>51</v>
      </c>
      <c r="B68" s="32" t="s">
        <v>33</v>
      </c>
      <c r="C68" s="12"/>
      <c r="D68" s="10"/>
      <c r="E68" s="12">
        <f>10.8/2</f>
        <v>5.4</v>
      </c>
      <c r="F68" s="10"/>
      <c r="G68" s="12"/>
      <c r="H68" s="10"/>
      <c r="I68" s="12">
        <f>(33.4+4.4+26.9+31.8+308.9+436.6+69.5+18.2+24.8+16.6*2+41.1+6.4)/2</f>
        <v>517.6</v>
      </c>
      <c r="J68" s="10"/>
      <c r="K68" s="12"/>
      <c r="L68" s="10">
        <f>(2.5+1.2+1.2+2.1+2.8+2.1+2.7)/2</f>
        <v>7.3000000000000007</v>
      </c>
      <c r="M68" s="96"/>
      <c r="N68" s="13"/>
    </row>
    <row r="69" spans="1:14" s="2" customFormat="1" hidden="1">
      <c r="A69" s="10">
        <f t="shared" si="0"/>
        <v>52</v>
      </c>
      <c r="B69" s="32" t="s">
        <v>34</v>
      </c>
      <c r="C69" s="12"/>
      <c r="D69" s="10"/>
      <c r="E69" s="12">
        <v>10.7</v>
      </c>
      <c r="F69" s="10"/>
      <c r="G69" s="12"/>
      <c r="H69" s="10"/>
      <c r="I69" s="12">
        <f>33.4+26.5+14.9+32+741.8+7.6+41.3+16.6*2+24.5+17+52.4+10.9</f>
        <v>1035.5</v>
      </c>
      <c r="J69" s="10"/>
      <c r="K69" s="12"/>
      <c r="L69" s="10">
        <f>3.7+0.9+0.9+2.6+2.4+3.9+1.4</f>
        <v>15.800000000000002</v>
      </c>
      <c r="M69" s="96"/>
      <c r="N69" s="13"/>
    </row>
    <row r="70" spans="1:14" s="2" customFormat="1" hidden="1">
      <c r="A70" s="10">
        <f t="shared" si="0"/>
        <v>53</v>
      </c>
      <c r="B70" s="32" t="s">
        <v>35</v>
      </c>
      <c r="C70" s="12"/>
      <c r="D70" s="10"/>
      <c r="E70" s="12">
        <f>17.6+17.2+18.1+11.7+3.3+13.3+22.2</f>
        <v>103.39999999999999</v>
      </c>
      <c r="F70" s="10"/>
      <c r="G70" s="12"/>
      <c r="H70" s="10"/>
      <c r="I70" s="12">
        <f>25.5+16.1+24.6+32+27.2+13.6+33.4+417.5+161.9+49.8</f>
        <v>801.59999999999991</v>
      </c>
      <c r="J70" s="10"/>
      <c r="K70" s="12"/>
      <c r="L70" s="10"/>
      <c r="M70" s="96"/>
      <c r="N70" s="13"/>
    </row>
    <row r="71" spans="1:14" s="2" customFormat="1">
      <c r="A71" s="10">
        <v>12</v>
      </c>
      <c r="B71" s="32" t="s">
        <v>73</v>
      </c>
      <c r="C71" s="12"/>
      <c r="D71" s="10"/>
      <c r="E71" s="12">
        <v>884.9</v>
      </c>
      <c r="F71" s="10"/>
      <c r="G71" s="12"/>
      <c r="H71" s="10"/>
      <c r="I71" s="12">
        <v>4929.55</v>
      </c>
      <c r="J71" s="10"/>
      <c r="K71" s="12"/>
      <c r="L71" s="10">
        <v>152.30000000000001</v>
      </c>
      <c r="M71" s="96">
        <f>SUM(C71:L71)</f>
        <v>5966.75</v>
      </c>
      <c r="N71" s="13">
        <v>2741.7</v>
      </c>
    </row>
    <row r="72" spans="1:14" s="2" customFormat="1" hidden="1">
      <c r="A72" s="10">
        <f>A70+1</f>
        <v>54</v>
      </c>
      <c r="B72" s="32" t="s">
        <v>36</v>
      </c>
      <c r="C72" s="12"/>
      <c r="D72" s="10"/>
      <c r="E72" s="12">
        <f>97.1+31.6+9.7+10.1+10.5</f>
        <v>158.99999999999997</v>
      </c>
      <c r="F72" s="10"/>
      <c r="G72" s="12"/>
      <c r="H72" s="10"/>
      <c r="I72" s="12">
        <f>6.5*2+13.7+49.9+19.6+30.1+6.2+4+10.6+14.5+3.5+2.2+9.2+30.7+13.8+11.4+5.3+32.6+16+5.3+3.9+35.5+70.8+21.4+6+4.5+13+6.6+12.1+2.7+15.5+11.5+15.4+1.4+29.7+14.5+70.8</f>
        <v>626.89999999999986</v>
      </c>
      <c r="J72" s="10"/>
      <c r="K72" s="12"/>
      <c r="L72" s="10">
        <f>12.9*2+12.9*2</f>
        <v>51.6</v>
      </c>
      <c r="M72" s="96"/>
      <c r="N72" s="13"/>
    </row>
    <row r="73" spans="1:14" s="2" customFormat="1" hidden="1">
      <c r="A73" s="10">
        <f t="shared" si="0"/>
        <v>55</v>
      </c>
      <c r="B73" s="32" t="s">
        <v>37</v>
      </c>
      <c r="C73" s="12"/>
      <c r="D73" s="10"/>
      <c r="E73" s="12">
        <f>26.1+8+10.9</f>
        <v>45</v>
      </c>
      <c r="F73" s="10"/>
      <c r="G73" s="12"/>
      <c r="H73" s="10"/>
      <c r="I73" s="12">
        <f>12+13.2+4.8+6.3+18.6+15.8+15.7+15.9+0.6+1.3+25.6+13.3+2.4+4.1+31.1+34.7+13+3.7+39.6+3.5+1.8+12.7+6.4+13.9+12.9+10.2+13.7+13.4+13.5+13.6+162.6*2</f>
        <v>712.5</v>
      </c>
      <c r="J73" s="10"/>
      <c r="K73" s="12"/>
      <c r="L73" s="10"/>
      <c r="M73" s="96"/>
      <c r="N73" s="13"/>
    </row>
    <row r="74" spans="1:14" s="2" customFormat="1" hidden="1">
      <c r="A74" s="10">
        <f t="shared" si="0"/>
        <v>56</v>
      </c>
      <c r="B74" s="32" t="s">
        <v>38</v>
      </c>
      <c r="C74" s="12"/>
      <c r="D74" s="10"/>
      <c r="E74" s="12">
        <f>12.4+10+11.9</f>
        <v>34.299999999999997</v>
      </c>
      <c r="F74" s="10"/>
      <c r="G74" s="12"/>
      <c r="H74" s="10"/>
      <c r="I74" s="12">
        <f>13.2+13+13.2+6.5+25.3+23.7+9.5+3.1+32.8+34.3+27.6+17.1+563.9+25.8+13.2+12.1+9.9+3.1+15.2+25.6+36.5+6.8+30.4</f>
        <v>961.80000000000007</v>
      </c>
      <c r="J74" s="10"/>
      <c r="K74" s="12"/>
      <c r="L74" s="10">
        <f>12.2*2</f>
        <v>24.4</v>
      </c>
      <c r="M74" s="96"/>
      <c r="N74" s="13"/>
    </row>
    <row r="75" spans="1:14" s="2" customFormat="1" hidden="1">
      <c r="A75" s="10">
        <f t="shared" si="0"/>
        <v>57</v>
      </c>
      <c r="B75" s="32" t="s">
        <v>39</v>
      </c>
      <c r="C75" s="12"/>
      <c r="D75" s="10"/>
      <c r="E75" s="12">
        <f>57.2+11.6+30.6+28.8</f>
        <v>128.20000000000002</v>
      </c>
      <c r="F75" s="10"/>
      <c r="G75" s="12"/>
      <c r="H75" s="10"/>
      <c r="I75" s="12">
        <f>13.2+14+12.4+27.4+155.8+154.6+18.5+16.9+16.1+107+305+9.4+13.2+19.7+69.9+16.6+16.2+16.6+17.8+16.9+16+13.2*2</f>
        <v>1079.6000000000001</v>
      </c>
      <c r="J75" s="10"/>
      <c r="K75" s="12"/>
      <c r="L75" s="10">
        <v>11.5</v>
      </c>
      <c r="M75" s="96"/>
      <c r="N75" s="13"/>
    </row>
    <row r="76" spans="1:14" s="2" customFormat="1" hidden="1">
      <c r="A76" s="10">
        <f t="shared" si="0"/>
        <v>58</v>
      </c>
      <c r="B76" s="32" t="s">
        <v>40</v>
      </c>
      <c r="C76" s="12"/>
      <c r="D76" s="10"/>
      <c r="E76" s="12">
        <f>10.8+1.3+7.5+7.1+95.5+7.7+11.4</f>
        <v>141.30000000000001</v>
      </c>
      <c r="F76" s="10"/>
      <c r="G76" s="12"/>
      <c r="H76" s="10"/>
      <c r="I76" s="12">
        <f>13.2*2+13.2+12.5+35.8+2.4+29.2+8.2+25+17.6+17.7+17.1+17+148.5*2+29.4+21.3+122.4+16.7+16.7+16.2+16.6+16.4+16.1+16.7+17+15.8+13.2+12.3+33.3+25.7+36.3+16.1+15.6</f>
        <v>992.9</v>
      </c>
      <c r="J76" s="10"/>
      <c r="K76" s="12"/>
      <c r="L76" s="10">
        <f>11.8*2</f>
        <v>23.6</v>
      </c>
      <c r="M76" s="96"/>
      <c r="N76" s="13"/>
    </row>
    <row r="77" spans="1:14" s="2" customFormat="1" hidden="1">
      <c r="A77" s="10">
        <f t="shared" si="0"/>
        <v>59</v>
      </c>
      <c r="B77" s="32" t="s">
        <v>41</v>
      </c>
      <c r="C77" s="12"/>
      <c r="D77" s="10"/>
      <c r="E77" s="12">
        <f>11+34.9</f>
        <v>45.9</v>
      </c>
      <c r="F77" s="10"/>
      <c r="G77" s="12"/>
      <c r="H77" s="10"/>
      <c r="I77" s="12">
        <f>6.6+13.2+12.6+34.2+114.9+14.8+15.3+15.3+14.9+19.3+16+16.7+15.2+18.1+429+13.2+30.1+16.2*2+12.2+37.7+59.2+13.2*2</f>
        <v>967.30000000000018</v>
      </c>
      <c r="J77" s="10"/>
      <c r="K77" s="12"/>
      <c r="L77" s="10">
        <f>(10+4.4)*2</f>
        <v>28.8</v>
      </c>
      <c r="M77" s="96"/>
      <c r="N77" s="13"/>
    </row>
    <row r="78" spans="1:14" s="2" customFormat="1">
      <c r="A78" s="10">
        <v>13</v>
      </c>
      <c r="B78" s="32" t="s">
        <v>74</v>
      </c>
      <c r="C78" s="12"/>
      <c r="D78" s="10"/>
      <c r="E78" s="12">
        <v>174.9</v>
      </c>
      <c r="F78" s="10"/>
      <c r="G78" s="12"/>
      <c r="H78" s="10"/>
      <c r="I78" s="12">
        <v>4865</v>
      </c>
      <c r="J78" s="10"/>
      <c r="K78" s="12"/>
      <c r="L78" s="10">
        <v>94.3</v>
      </c>
      <c r="M78" s="96">
        <f>SUM(E78:L78)</f>
        <v>5134.2</v>
      </c>
      <c r="N78" s="13">
        <v>1132.0999999999999</v>
      </c>
    </row>
    <row r="79" spans="1:14" s="2" customFormat="1">
      <c r="A79" s="10">
        <v>14</v>
      </c>
      <c r="B79" s="32" t="s">
        <v>42</v>
      </c>
      <c r="C79" s="12"/>
      <c r="D79" s="10"/>
      <c r="E79" s="12">
        <v>599.20000000000005</v>
      </c>
      <c r="F79" s="10"/>
      <c r="G79" s="12"/>
      <c r="H79" s="10"/>
      <c r="I79" s="12">
        <v>264.2</v>
      </c>
      <c r="J79" s="10"/>
      <c r="K79" s="12"/>
      <c r="L79" s="10">
        <f>2.7+2.5+5.2+5.1</f>
        <v>15.5</v>
      </c>
      <c r="M79" s="96">
        <f t="shared" ref="M79:M90" si="2">SUM(E79:L79)</f>
        <v>878.90000000000009</v>
      </c>
      <c r="N79" s="13"/>
    </row>
    <row r="80" spans="1:14" s="2" customFormat="1" ht="15.75" hidden="1" customHeight="1">
      <c r="A80" s="10">
        <f t="shared" si="0"/>
        <v>15</v>
      </c>
      <c r="B80" s="32" t="s">
        <v>43</v>
      </c>
      <c r="C80" s="12">
        <f>102+3.9+63.1+163.1</f>
        <v>332.1</v>
      </c>
      <c r="D80" s="10"/>
      <c r="E80" s="12">
        <f>30.4+3.9+58.6+21.7+34+3.9+17.1+16.9+16.8+46.5+68.8+12.8+13*2</f>
        <v>357.40000000000003</v>
      </c>
      <c r="F80" s="10"/>
      <c r="G80" s="12"/>
      <c r="H80" s="10"/>
      <c r="I80" s="12">
        <f>28.2+17.9+16.6+13.2*2</f>
        <v>89.1</v>
      </c>
      <c r="J80" s="10"/>
      <c r="K80" s="12"/>
      <c r="L80" s="10"/>
      <c r="M80" s="96">
        <f t="shared" si="2"/>
        <v>446.5</v>
      </c>
      <c r="N80" s="13"/>
    </row>
    <row r="81" spans="1:14" s="2" customFormat="1" ht="15.75" hidden="1" customHeight="1">
      <c r="A81" s="10">
        <f t="shared" si="0"/>
        <v>16</v>
      </c>
      <c r="B81" s="32" t="s">
        <v>44</v>
      </c>
      <c r="C81" s="12">
        <f>31.6+3.4+3.8+8</f>
        <v>46.8</v>
      </c>
      <c r="D81" s="10"/>
      <c r="E81" s="12"/>
      <c r="F81" s="10"/>
      <c r="G81" s="12"/>
      <c r="H81" s="10"/>
      <c r="I81" s="12">
        <f>20+6.3+1.4+13.2*2+18.9+4.5+4.5+23.8+17.3+11.6+32.9</f>
        <v>167.6</v>
      </c>
      <c r="J81" s="10"/>
      <c r="K81" s="12"/>
      <c r="L81" s="10">
        <f>1.3+1.5+2.5+2.5</f>
        <v>7.8</v>
      </c>
      <c r="M81" s="96">
        <f t="shared" si="2"/>
        <v>175.4</v>
      </c>
      <c r="N81" s="13"/>
    </row>
    <row r="82" spans="1:14" s="2" customFormat="1" ht="15.75" hidden="1" customHeight="1">
      <c r="A82" s="10">
        <f t="shared" si="0"/>
        <v>17</v>
      </c>
      <c r="B82" s="32" t="s">
        <v>45</v>
      </c>
      <c r="C82" s="12"/>
      <c r="D82" s="10"/>
      <c r="E82" s="12">
        <f>13.5+13*2</f>
        <v>39.5</v>
      </c>
      <c r="F82" s="10"/>
      <c r="G82" s="12"/>
      <c r="H82" s="10"/>
      <c r="I82" s="12">
        <f>13.2*2+18.3+36.8+4+2.2+7.5+2.6+2.4+3.9+35.5+3.3+1.6+2.7+3.9+7.1+57.7+16.5+12.6+90.2+119.1+2.8+18.4+53.8+16.7+16.7+17+17+34.7+34.8+34.1+16.9+19.3+80</f>
        <v>816.50000000000011</v>
      </c>
      <c r="J82" s="10"/>
      <c r="K82" s="12"/>
      <c r="L82" s="10">
        <f>6.3+2.9+3.2</f>
        <v>12.399999999999999</v>
      </c>
      <c r="M82" s="96">
        <f t="shared" si="2"/>
        <v>868.40000000000009</v>
      </c>
      <c r="N82" s="13"/>
    </row>
    <row r="83" spans="1:14" s="2" customFormat="1" ht="15.75" hidden="1" customHeight="1">
      <c r="A83" s="10">
        <f t="shared" si="0"/>
        <v>18</v>
      </c>
      <c r="B83" s="32" t="s">
        <v>46</v>
      </c>
      <c r="C83" s="12"/>
      <c r="D83" s="10"/>
      <c r="E83" s="12">
        <f>10.5+2.4+2.4+13+13</f>
        <v>41.3</v>
      </c>
      <c r="F83" s="10"/>
      <c r="G83" s="12"/>
      <c r="H83" s="10"/>
      <c r="I83" s="12">
        <f>5+44.4+17+17.2+31.9+266.2+39.3+79.5+35.1+16.3+159.6+18+13.2*2+18</f>
        <v>773.9</v>
      </c>
      <c r="J83" s="10"/>
      <c r="K83" s="12"/>
      <c r="L83" s="10">
        <f>1.5+1.5+4+3.5</f>
        <v>10.5</v>
      </c>
      <c r="M83" s="96">
        <f t="shared" si="2"/>
        <v>825.69999999999993</v>
      </c>
      <c r="N83" s="13"/>
    </row>
    <row r="84" spans="1:14" s="2" customFormat="1" ht="17.25" hidden="1" customHeight="1">
      <c r="A84" s="10">
        <f t="shared" si="0"/>
        <v>19</v>
      </c>
      <c r="B84" s="32" t="s">
        <v>47</v>
      </c>
      <c r="C84" s="12"/>
      <c r="D84" s="10"/>
      <c r="E84" s="12">
        <f>13+13*2+5.8+29.8+9.4</f>
        <v>84</v>
      </c>
      <c r="F84" s="10"/>
      <c r="G84" s="12"/>
      <c r="H84" s="10"/>
      <c r="I84" s="12">
        <f>13.2*2+20+37.4+8.2+9.7+27.9+18.4+17.7+16.8+589.8+39.4</f>
        <v>811.69999999999993</v>
      </c>
      <c r="J84" s="10"/>
      <c r="K84" s="12"/>
      <c r="L84" s="10">
        <f>1.5+1.6+2.1+8.3</f>
        <v>13.5</v>
      </c>
      <c r="M84" s="96">
        <f t="shared" si="2"/>
        <v>909.19999999999993</v>
      </c>
      <c r="N84" s="13"/>
    </row>
    <row r="85" spans="1:14" s="2" customFormat="1" ht="17.25" customHeight="1">
      <c r="A85" s="10">
        <v>15</v>
      </c>
      <c r="B85" s="32" t="s">
        <v>75</v>
      </c>
      <c r="C85" s="12"/>
      <c r="D85" s="10"/>
      <c r="E85" s="12">
        <v>759.4</v>
      </c>
      <c r="F85" s="10"/>
      <c r="G85" s="12"/>
      <c r="H85" s="10"/>
      <c r="I85" s="12">
        <v>2460.8000000000002</v>
      </c>
      <c r="J85" s="10"/>
      <c r="K85" s="12"/>
      <c r="L85" s="10">
        <v>52.5</v>
      </c>
      <c r="M85" s="96">
        <f t="shared" si="2"/>
        <v>3272.7000000000003</v>
      </c>
      <c r="N85" s="13">
        <v>3554</v>
      </c>
    </row>
    <row r="86" spans="1:14" s="2" customFormat="1" ht="33" hidden="1">
      <c r="A86" s="10">
        <f>A84+1</f>
        <v>20</v>
      </c>
      <c r="B86" s="33" t="s">
        <v>61</v>
      </c>
      <c r="C86" s="12">
        <f>59.7+20+3.7+12.6+2.7+6.3+71.9</f>
        <v>176.9</v>
      </c>
      <c r="D86" s="10"/>
      <c r="E86" s="12"/>
      <c r="F86" s="10"/>
      <c r="G86" s="12"/>
      <c r="H86" s="10"/>
      <c r="I86" s="12">
        <f>17.6+2.7+3.6+13.8+1.9</f>
        <v>39.6</v>
      </c>
      <c r="J86" s="10"/>
      <c r="K86" s="12"/>
      <c r="L86" s="10"/>
      <c r="M86" s="96">
        <f t="shared" si="2"/>
        <v>39.6</v>
      </c>
      <c r="N86" s="13"/>
    </row>
    <row r="87" spans="1:14" s="2" customFormat="1" ht="33" hidden="1">
      <c r="A87" s="10">
        <f>A86+1</f>
        <v>21</v>
      </c>
      <c r="B87" s="33" t="s">
        <v>62</v>
      </c>
      <c r="C87" s="12"/>
      <c r="D87" s="10"/>
      <c r="E87" s="12"/>
      <c r="F87" s="10"/>
      <c r="G87" s="12"/>
      <c r="H87" s="10"/>
      <c r="I87" s="12">
        <f>17.6+10.7+36.8+39.8+16+3.6+4.5+2.8+9.9+3+5.3+33.4+35.7+7.8+11.1+9.9+7.7</f>
        <v>255.60000000000002</v>
      </c>
      <c r="J87" s="10"/>
      <c r="K87" s="12"/>
      <c r="L87" s="10">
        <f>6.9+7.2</f>
        <v>14.100000000000001</v>
      </c>
      <c r="M87" s="96">
        <f t="shared" si="2"/>
        <v>269.70000000000005</v>
      </c>
      <c r="N87" s="13"/>
    </row>
    <row r="88" spans="1:14" s="2" customFormat="1" ht="18" hidden="1" customHeight="1">
      <c r="A88" s="10" t="e">
        <f>#REF!+1</f>
        <v>#REF!</v>
      </c>
      <c r="B88" s="33" t="s">
        <v>49</v>
      </c>
      <c r="C88" s="12">
        <v>104.5</v>
      </c>
      <c r="D88" s="10"/>
      <c r="E88" s="12">
        <f>8.2+24.7+14.3+34.9+3.8+56.7+3.6+19.6+46.5+3.2+3.4+20.6+31.3+5.2+13.3+190.1+34.7+13.3+18.3+70.8</f>
        <v>616.49999999999989</v>
      </c>
      <c r="F88" s="10"/>
      <c r="G88" s="12"/>
      <c r="H88" s="10"/>
      <c r="I88" s="12">
        <f>35.4+7.4+32.1+2.8+9+14.9+19.8+20.4+3.6+1.9+31.8+24.9+20.1+13.1*2+9.9+4.2+4+5.1+10+50.1+14.1+3.4+26+33.5+45.1</f>
        <v>455.70000000000005</v>
      </c>
      <c r="J88" s="10"/>
      <c r="K88" s="12"/>
      <c r="L88" s="10">
        <f>6.2+1.8+1.8+1.8+1.4+1.4</f>
        <v>14.400000000000002</v>
      </c>
      <c r="M88" s="96">
        <f t="shared" si="2"/>
        <v>1086.5999999999999</v>
      </c>
      <c r="N88" s="13"/>
    </row>
    <row r="89" spans="1:14" s="2" customFormat="1" ht="18" hidden="1" customHeight="1">
      <c r="A89" s="10" t="e">
        <f>A88+1</f>
        <v>#REF!</v>
      </c>
      <c r="B89" s="33" t="s">
        <v>49</v>
      </c>
      <c r="C89" s="12"/>
      <c r="D89" s="10"/>
      <c r="E89" s="12">
        <f>13.3*2</f>
        <v>26.6</v>
      </c>
      <c r="F89" s="10"/>
      <c r="G89" s="12"/>
      <c r="H89" s="10"/>
      <c r="I89" s="12">
        <f>34.5+36.5+18.8+121.2+17.1+117.6+7.6+9.8+6.6+5.4+4.2+103.8+34+33.5+16.3+16.1+108.3+36.5+18.2+16.3+16.9+13.1*2</f>
        <v>805.4</v>
      </c>
      <c r="J89" s="10"/>
      <c r="K89" s="12"/>
      <c r="L89" s="10">
        <f>1.5+1.5+3.4+3.6+3.6</f>
        <v>13.6</v>
      </c>
      <c r="M89" s="96">
        <f t="shared" si="2"/>
        <v>845.6</v>
      </c>
      <c r="N89" s="13"/>
    </row>
    <row r="90" spans="1:14" s="2" customFormat="1" ht="18" hidden="1" customHeight="1">
      <c r="A90" s="15" t="e">
        <f>A89+1</f>
        <v>#REF!</v>
      </c>
      <c r="B90" s="34" t="s">
        <v>49</v>
      </c>
      <c r="C90" s="47">
        <v>54.9</v>
      </c>
      <c r="D90" s="15"/>
      <c r="E90" s="47">
        <f>13.3+11.1+11.9</f>
        <v>36.299999999999997</v>
      </c>
      <c r="F90" s="10"/>
      <c r="G90" s="47"/>
      <c r="H90" s="10"/>
      <c r="I90" s="47">
        <f>13.1*2+16.9+19.3+34.6+15.5+77.1+499.2+67.1+19.9+5.7+1.2+3.2+2.8+6.6</f>
        <v>795.30000000000007</v>
      </c>
      <c r="J90" s="15"/>
      <c r="K90" s="47"/>
      <c r="L90" s="15">
        <f>3.1+2.4</f>
        <v>5.5</v>
      </c>
      <c r="M90" s="96">
        <f t="shared" si="2"/>
        <v>837.1</v>
      </c>
      <c r="N90" s="13"/>
    </row>
    <row r="91" spans="1:14" s="2" customFormat="1" ht="18" customHeight="1">
      <c r="A91" s="46">
        <v>16</v>
      </c>
      <c r="B91" s="34" t="s">
        <v>49</v>
      </c>
      <c r="C91" s="48"/>
      <c r="D91" s="46"/>
      <c r="E91" s="48">
        <v>842.6</v>
      </c>
      <c r="F91" s="15"/>
      <c r="G91" s="48"/>
      <c r="H91" s="15"/>
      <c r="I91" s="48">
        <v>1918.5</v>
      </c>
      <c r="J91" s="46"/>
      <c r="K91" s="48"/>
      <c r="L91" s="46">
        <v>44.9</v>
      </c>
      <c r="M91" s="97">
        <f t="shared" ref="M91:M96" si="3">SUM(C91:L91)</f>
        <v>2806</v>
      </c>
      <c r="N91" s="17">
        <v>1933.2</v>
      </c>
    </row>
    <row r="92" spans="1:14" s="2" customFormat="1" ht="18" customHeight="1">
      <c r="A92" s="10">
        <v>17</v>
      </c>
      <c r="B92" s="33" t="s">
        <v>158</v>
      </c>
      <c r="C92" s="12">
        <v>225.3</v>
      </c>
      <c r="D92" s="10"/>
      <c r="E92" s="12"/>
      <c r="F92" s="10"/>
      <c r="G92" s="12"/>
      <c r="H92" s="10"/>
      <c r="I92" s="12">
        <v>246.2</v>
      </c>
      <c r="J92" s="10"/>
      <c r="K92" s="12"/>
      <c r="L92" s="10">
        <v>14.1</v>
      </c>
      <c r="M92" s="97">
        <f t="shared" si="3"/>
        <v>485.6</v>
      </c>
      <c r="N92" s="13">
        <v>484.6</v>
      </c>
    </row>
    <row r="93" spans="1:14" s="2" customFormat="1" ht="18" customHeight="1">
      <c r="A93" s="10">
        <v>18</v>
      </c>
      <c r="B93" s="33" t="s">
        <v>161</v>
      </c>
      <c r="C93" s="12"/>
      <c r="D93" s="10"/>
      <c r="E93" s="12"/>
      <c r="F93" s="10"/>
      <c r="G93" s="12"/>
      <c r="H93" s="10"/>
      <c r="I93" s="12">
        <v>54.74</v>
      </c>
      <c r="J93" s="10"/>
      <c r="K93" s="12"/>
      <c r="L93" s="10"/>
      <c r="M93" s="97">
        <f t="shared" si="3"/>
        <v>54.74</v>
      </c>
      <c r="N93" s="13"/>
    </row>
    <row r="94" spans="1:14" s="2" customFormat="1" ht="18" customHeight="1">
      <c r="A94" s="10">
        <v>19</v>
      </c>
      <c r="B94" s="33" t="s">
        <v>163</v>
      </c>
      <c r="C94" s="12"/>
      <c r="D94" s="10"/>
      <c r="E94" s="12">
        <v>496.2</v>
      </c>
      <c r="F94" s="10"/>
      <c r="G94" s="12"/>
      <c r="H94" s="10"/>
      <c r="I94" s="12"/>
      <c r="J94" s="10"/>
      <c r="K94" s="12"/>
      <c r="L94" s="10"/>
      <c r="M94" s="97">
        <f t="shared" si="3"/>
        <v>496.2</v>
      </c>
      <c r="N94" s="13"/>
    </row>
    <row r="95" spans="1:14" s="2" customFormat="1" ht="18" customHeight="1">
      <c r="A95" s="10">
        <v>20</v>
      </c>
      <c r="B95" s="33" t="s">
        <v>162</v>
      </c>
      <c r="C95" s="12"/>
      <c r="D95" s="10"/>
      <c r="E95" s="12"/>
      <c r="F95" s="10"/>
      <c r="G95" s="12"/>
      <c r="H95" s="10"/>
      <c r="I95" s="12"/>
      <c r="J95" s="10"/>
      <c r="K95" s="12"/>
      <c r="L95" s="10"/>
      <c r="M95" s="97">
        <f t="shared" si="3"/>
        <v>0</v>
      </c>
      <c r="N95" s="13">
        <v>1060</v>
      </c>
    </row>
    <row r="96" spans="1:14" s="2" customFormat="1" ht="18" customHeight="1" thickBot="1">
      <c r="A96" s="16">
        <v>21</v>
      </c>
      <c r="B96" s="34" t="s">
        <v>159</v>
      </c>
      <c r="C96" s="47"/>
      <c r="D96" s="15"/>
      <c r="E96" s="47"/>
      <c r="F96" s="15"/>
      <c r="G96" s="47"/>
      <c r="H96" s="15"/>
      <c r="I96" s="47"/>
      <c r="J96" s="15"/>
      <c r="K96" s="47"/>
      <c r="L96" s="15"/>
      <c r="M96" s="97">
        <f t="shared" si="3"/>
        <v>0</v>
      </c>
      <c r="N96" s="17">
        <v>2263.1</v>
      </c>
    </row>
    <row r="97" spans="1:14" s="1" customFormat="1" ht="17.25" customHeight="1" thickBot="1">
      <c r="A97" s="151" t="s">
        <v>50</v>
      </c>
      <c r="B97" s="152"/>
      <c r="C97" s="18">
        <f>C16+C19+C24+C29+C33+C36+C43+C50+C51+C55+C61+C71+C78+C79+C85+C91+C92+C93+C94+C95+C96</f>
        <v>833.09999999999991</v>
      </c>
      <c r="D97" s="19">
        <f t="shared" ref="D97:N97" si="4">D16+D19+D24+D29+D33+D36+D43+D50+D51+D55+D61+D71+D78+D79+D85+D91+D92+D93+D94+D95+D96</f>
        <v>0</v>
      </c>
      <c r="E97" s="18">
        <f t="shared" si="4"/>
        <v>7772.4999999999991</v>
      </c>
      <c r="F97" s="19">
        <f t="shared" si="4"/>
        <v>0</v>
      </c>
      <c r="G97" s="18">
        <f t="shared" si="4"/>
        <v>0</v>
      </c>
      <c r="H97" s="19">
        <f t="shared" si="4"/>
        <v>0</v>
      </c>
      <c r="I97" s="18">
        <f t="shared" si="4"/>
        <v>31032.29</v>
      </c>
      <c r="J97" s="19">
        <f t="shared" si="4"/>
        <v>0</v>
      </c>
      <c r="K97" s="18">
        <f t="shared" si="4"/>
        <v>0</v>
      </c>
      <c r="L97" s="19">
        <f t="shared" si="4"/>
        <v>833.8</v>
      </c>
      <c r="M97" s="98">
        <f t="shared" si="4"/>
        <v>40471.689999999995</v>
      </c>
      <c r="N97" s="19">
        <f t="shared" si="4"/>
        <v>30680.799999999996</v>
      </c>
    </row>
    <row r="98" spans="1:14" s="1" customFormat="1" ht="17.25" customHeight="1" thickBot="1">
      <c r="A98" s="111" t="s">
        <v>3</v>
      </c>
      <c r="B98" s="111" t="s">
        <v>0</v>
      </c>
      <c r="C98" s="113" t="s">
        <v>149</v>
      </c>
      <c r="D98" s="114"/>
      <c r="E98" s="114"/>
      <c r="F98" s="114"/>
      <c r="G98" s="114"/>
      <c r="H98" s="114"/>
      <c r="I98" s="114"/>
      <c r="J98" s="114"/>
      <c r="K98" s="114"/>
      <c r="L98" s="115"/>
      <c r="M98" s="116" t="s">
        <v>76</v>
      </c>
      <c r="N98" s="111" t="s">
        <v>150</v>
      </c>
    </row>
    <row r="99" spans="1:14" s="1" customFormat="1" ht="72" customHeight="1" thickBot="1">
      <c r="A99" s="112"/>
      <c r="B99" s="112"/>
      <c r="C99" s="22" t="s">
        <v>4</v>
      </c>
      <c r="D99" s="22" t="s">
        <v>155</v>
      </c>
      <c r="E99" s="23" t="s">
        <v>1</v>
      </c>
      <c r="F99" s="24" t="s">
        <v>85</v>
      </c>
      <c r="G99" s="23" t="s">
        <v>84</v>
      </c>
      <c r="H99" s="24" t="s">
        <v>86</v>
      </c>
      <c r="I99" s="23" t="s">
        <v>2</v>
      </c>
      <c r="J99" s="23" t="s">
        <v>79</v>
      </c>
      <c r="K99" s="24" t="s">
        <v>94</v>
      </c>
      <c r="L99" s="22" t="s">
        <v>128</v>
      </c>
      <c r="M99" s="117"/>
      <c r="N99" s="112"/>
    </row>
    <row r="100" spans="1:14" s="1" customFormat="1" ht="17.25" customHeight="1" thickBot="1">
      <c r="A100" s="22">
        <v>1</v>
      </c>
      <c r="B100" s="23">
        <v>2</v>
      </c>
      <c r="C100" s="22">
        <v>3</v>
      </c>
      <c r="D100" s="22">
        <v>4</v>
      </c>
      <c r="E100" s="23">
        <v>5</v>
      </c>
      <c r="F100" s="24">
        <v>6</v>
      </c>
      <c r="G100" s="23">
        <v>7</v>
      </c>
      <c r="H100" s="24">
        <v>8</v>
      </c>
      <c r="I100" s="23">
        <v>9</v>
      </c>
      <c r="J100" s="23">
        <v>10</v>
      </c>
      <c r="K100" s="24">
        <v>11</v>
      </c>
      <c r="L100" s="22">
        <v>12</v>
      </c>
      <c r="M100" s="89">
        <v>13</v>
      </c>
      <c r="N100" s="26">
        <v>14</v>
      </c>
    </row>
    <row r="101" spans="1:14" ht="18.75" customHeight="1" thickBot="1">
      <c r="A101" s="137" t="s">
        <v>81</v>
      </c>
      <c r="B101" s="138"/>
      <c r="C101" s="138"/>
      <c r="D101" s="138"/>
      <c r="E101" s="138"/>
      <c r="F101" s="138"/>
      <c r="G101" s="138"/>
      <c r="H101" s="138"/>
      <c r="I101" s="138"/>
      <c r="J101" s="138"/>
      <c r="K101" s="138"/>
      <c r="L101" s="138"/>
      <c r="M101" s="138"/>
      <c r="N101" s="139"/>
    </row>
    <row r="102" spans="1:14" ht="16.5" customHeight="1">
      <c r="A102" s="6">
        <v>1</v>
      </c>
      <c r="B102" s="35" t="s">
        <v>78</v>
      </c>
      <c r="C102" s="7">
        <v>34.6</v>
      </c>
      <c r="D102" s="7"/>
      <c r="E102" s="6">
        <v>4.7</v>
      </c>
      <c r="F102" s="8"/>
      <c r="G102" s="6"/>
      <c r="H102" s="8"/>
      <c r="I102" s="6">
        <v>474.8</v>
      </c>
      <c r="J102" s="6">
        <v>10.8</v>
      </c>
      <c r="K102" s="8"/>
      <c r="L102" s="7">
        <v>4.45</v>
      </c>
      <c r="M102" s="86">
        <f>SUM(C102:L102)</f>
        <v>529.35</v>
      </c>
      <c r="N102" s="9"/>
    </row>
    <row r="103" spans="1:14" ht="17.25" thickBot="1">
      <c r="A103" s="16">
        <v>2</v>
      </c>
      <c r="B103" s="36" t="s">
        <v>80</v>
      </c>
      <c r="C103" s="29"/>
      <c r="D103" s="29"/>
      <c r="E103" s="16"/>
      <c r="F103" s="28"/>
      <c r="G103" s="16"/>
      <c r="H103" s="28"/>
      <c r="I103" s="16">
        <v>378.6</v>
      </c>
      <c r="J103" s="16"/>
      <c r="K103" s="28"/>
      <c r="L103" s="29"/>
      <c r="M103" s="87">
        <f>SUM(C103:L103)</f>
        <v>378.6</v>
      </c>
      <c r="N103" s="17"/>
    </row>
    <row r="104" spans="1:14" ht="17.25" thickBot="1">
      <c r="A104" s="19"/>
      <c r="B104" s="18"/>
      <c r="C104" s="20">
        <f>SUM(C102:C103)</f>
        <v>34.6</v>
      </c>
      <c r="D104" s="20">
        <f>SUM(D102:D103)</f>
        <v>0</v>
      </c>
      <c r="E104" s="20">
        <f t="shared" ref="E104:M104" si="5">SUM(E102:E103)</f>
        <v>4.7</v>
      </c>
      <c r="F104" s="20"/>
      <c r="G104" s="20"/>
      <c r="H104" s="20"/>
      <c r="I104" s="20">
        <f t="shared" si="5"/>
        <v>853.40000000000009</v>
      </c>
      <c r="J104" s="19">
        <f t="shared" si="5"/>
        <v>10.8</v>
      </c>
      <c r="K104" s="18">
        <f t="shared" si="5"/>
        <v>0</v>
      </c>
      <c r="L104" s="20">
        <f t="shared" si="5"/>
        <v>4.45</v>
      </c>
      <c r="M104" s="85">
        <f t="shared" si="5"/>
        <v>907.95</v>
      </c>
      <c r="N104" s="26"/>
    </row>
    <row r="105" spans="1:14" ht="18.75" thickBot="1">
      <c r="A105" s="129" t="s">
        <v>82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1"/>
    </row>
    <row r="106" spans="1:14" ht="17.25" thickBot="1">
      <c r="A106" s="49"/>
      <c r="B106" s="50" t="s">
        <v>88</v>
      </c>
      <c r="C106" s="45">
        <f>C107+C108</f>
        <v>441.90000000000003</v>
      </c>
      <c r="D106" s="45">
        <f>D107+D108</f>
        <v>84.2</v>
      </c>
      <c r="E106" s="45">
        <f t="shared" ref="E106:M106" si="6">E107+E108</f>
        <v>1006.3</v>
      </c>
      <c r="F106" s="45">
        <f t="shared" si="6"/>
        <v>140</v>
      </c>
      <c r="G106" s="45">
        <f t="shared" si="6"/>
        <v>561.9</v>
      </c>
      <c r="H106" s="45">
        <f t="shared" si="6"/>
        <v>825</v>
      </c>
      <c r="I106" s="45">
        <f t="shared" si="6"/>
        <v>6004.5</v>
      </c>
      <c r="J106" s="49">
        <f t="shared" si="6"/>
        <v>275.2</v>
      </c>
      <c r="K106" s="51">
        <f t="shared" si="6"/>
        <v>0</v>
      </c>
      <c r="L106" s="45">
        <f t="shared" si="6"/>
        <v>152.39999999999998</v>
      </c>
      <c r="M106" s="85">
        <f t="shared" si="6"/>
        <v>9491.4</v>
      </c>
      <c r="N106" s="52"/>
    </row>
    <row r="107" spans="1:14">
      <c r="A107" s="53">
        <v>1</v>
      </c>
      <c r="B107" s="54" t="s">
        <v>83</v>
      </c>
      <c r="C107" s="55">
        <v>179.8</v>
      </c>
      <c r="D107" s="55">
        <v>84.2</v>
      </c>
      <c r="E107" s="53">
        <v>681.4</v>
      </c>
      <c r="F107" s="53"/>
      <c r="G107" s="56">
        <v>465.8</v>
      </c>
      <c r="H107" s="53">
        <v>23</v>
      </c>
      <c r="I107" s="56">
        <v>3065.8</v>
      </c>
      <c r="J107" s="53"/>
      <c r="K107" s="56"/>
      <c r="L107" s="55">
        <v>77.3</v>
      </c>
      <c r="M107" s="86">
        <f>SUM(C107:L107)</f>
        <v>4577.3</v>
      </c>
      <c r="N107" s="57"/>
    </row>
    <row r="108" spans="1:14" ht="17.25" thickBot="1">
      <c r="A108" s="58">
        <v>2</v>
      </c>
      <c r="B108" s="59" t="s">
        <v>87</v>
      </c>
      <c r="C108" s="60">
        <v>262.10000000000002</v>
      </c>
      <c r="D108" s="60"/>
      <c r="E108" s="58">
        <v>324.89999999999998</v>
      </c>
      <c r="F108" s="58">
        <v>140</v>
      </c>
      <c r="G108" s="61">
        <v>96.1</v>
      </c>
      <c r="H108" s="58">
        <v>802</v>
      </c>
      <c r="I108" s="61">
        <v>2938.7</v>
      </c>
      <c r="J108" s="58">
        <v>275.2</v>
      </c>
      <c r="K108" s="61"/>
      <c r="L108" s="60">
        <v>75.099999999999994</v>
      </c>
      <c r="M108" s="87">
        <f>SUM(C108:L108)</f>
        <v>4914.0999999999995</v>
      </c>
      <c r="N108" s="62"/>
    </row>
    <row r="109" spans="1:14" ht="21" thickBot="1">
      <c r="A109" s="132" t="s">
        <v>89</v>
      </c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4"/>
    </row>
    <row r="110" spans="1:14" ht="17.25" thickBot="1">
      <c r="A110" s="49"/>
      <c r="B110" s="63" t="s">
        <v>90</v>
      </c>
      <c r="C110" s="45">
        <f t="shared" ref="C110:M110" si="7">C111+C112</f>
        <v>0</v>
      </c>
      <c r="D110" s="45">
        <f t="shared" si="7"/>
        <v>0</v>
      </c>
      <c r="E110" s="45">
        <f t="shared" si="7"/>
        <v>0</v>
      </c>
      <c r="F110" s="45">
        <f t="shared" si="7"/>
        <v>4117.3</v>
      </c>
      <c r="G110" s="45">
        <f t="shared" si="7"/>
        <v>43.5</v>
      </c>
      <c r="H110" s="45">
        <f t="shared" si="7"/>
        <v>0</v>
      </c>
      <c r="I110" s="45">
        <f t="shared" si="7"/>
        <v>875</v>
      </c>
      <c r="J110" s="45">
        <f t="shared" si="7"/>
        <v>0</v>
      </c>
      <c r="K110" s="45">
        <f t="shared" si="7"/>
        <v>0</v>
      </c>
      <c r="L110" s="45">
        <f t="shared" si="7"/>
        <v>70</v>
      </c>
      <c r="M110" s="85">
        <f t="shared" si="7"/>
        <v>5105.8</v>
      </c>
      <c r="N110" s="52"/>
    </row>
    <row r="111" spans="1:14">
      <c r="A111" s="53">
        <v>1</v>
      </c>
      <c r="B111" s="64" t="s">
        <v>91</v>
      </c>
      <c r="C111" s="55"/>
      <c r="D111" s="55"/>
      <c r="E111" s="53"/>
      <c r="F111" s="56"/>
      <c r="G111" s="53"/>
      <c r="H111" s="53"/>
      <c r="I111" s="56">
        <v>875</v>
      </c>
      <c r="J111" s="53"/>
      <c r="K111" s="56"/>
      <c r="L111" s="55">
        <v>70</v>
      </c>
      <c r="M111" s="86">
        <f>SUM(C111:L111)</f>
        <v>945</v>
      </c>
      <c r="N111" s="57"/>
    </row>
    <row r="112" spans="1:14" ht="33.75" thickBot="1">
      <c r="A112" s="58">
        <v>2</v>
      </c>
      <c r="B112" s="65" t="s">
        <v>92</v>
      </c>
      <c r="C112" s="60"/>
      <c r="D112" s="60"/>
      <c r="E112" s="58"/>
      <c r="F112" s="61">
        <v>4117.3</v>
      </c>
      <c r="G112" s="58">
        <v>43.5</v>
      </c>
      <c r="H112" s="58"/>
      <c r="I112" s="61"/>
      <c r="J112" s="58"/>
      <c r="K112" s="61"/>
      <c r="L112" s="60"/>
      <c r="M112" s="87">
        <f>SUM(C112:L112)</f>
        <v>4160.8</v>
      </c>
      <c r="N112" s="62"/>
    </row>
    <row r="113" spans="1:14" ht="18.75" thickBot="1">
      <c r="A113" s="124" t="s">
        <v>125</v>
      </c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6"/>
    </row>
    <row r="114" spans="1:14">
      <c r="A114" s="66"/>
      <c r="B114" s="67" t="s">
        <v>95</v>
      </c>
      <c r="C114" s="68"/>
      <c r="D114" s="69"/>
      <c r="E114" s="66"/>
      <c r="F114" s="66"/>
      <c r="G114" s="69"/>
      <c r="H114" s="68"/>
      <c r="I114" s="66"/>
      <c r="J114" s="70">
        <v>53</v>
      </c>
      <c r="K114" s="71"/>
      <c r="L114" s="66"/>
      <c r="M114" s="86">
        <f>C114+E114+F114+G114+H114+I114+J114+K114+L114</f>
        <v>53</v>
      </c>
      <c r="N114" s="72" t="s">
        <v>129</v>
      </c>
    </row>
    <row r="115" spans="1:14">
      <c r="A115" s="14"/>
      <c r="B115" s="37" t="s">
        <v>96</v>
      </c>
      <c r="C115" s="44"/>
      <c r="D115" s="27"/>
      <c r="E115" s="27"/>
      <c r="F115" s="44"/>
      <c r="G115" s="27"/>
      <c r="H115" s="44"/>
      <c r="I115" s="14"/>
      <c r="J115" s="39">
        <v>59</v>
      </c>
      <c r="K115" s="73"/>
      <c r="L115" s="14"/>
      <c r="M115" s="88">
        <f t="shared" ref="M115:M150" si="8">C115+E115+F115+G115+H115+I115+J115+K115+L115</f>
        <v>59</v>
      </c>
      <c r="N115" s="30"/>
    </row>
    <row r="116" spans="1:14">
      <c r="A116" s="14"/>
      <c r="B116" s="37" t="s">
        <v>98</v>
      </c>
      <c r="C116" s="44"/>
      <c r="D116" s="27"/>
      <c r="E116" s="27"/>
      <c r="F116" s="44"/>
      <c r="G116" s="27"/>
      <c r="H116" s="44"/>
      <c r="I116" s="14"/>
      <c r="J116" s="39">
        <v>104</v>
      </c>
      <c r="K116" s="73"/>
      <c r="L116" s="14"/>
      <c r="M116" s="88">
        <f t="shared" si="8"/>
        <v>104</v>
      </c>
      <c r="N116" s="30"/>
    </row>
    <row r="117" spans="1:14">
      <c r="A117" s="14"/>
      <c r="B117" s="37" t="s">
        <v>97</v>
      </c>
      <c r="C117" s="44"/>
      <c r="D117" s="27"/>
      <c r="E117" s="27"/>
      <c r="F117" s="44"/>
      <c r="G117" s="27"/>
      <c r="H117" s="44"/>
      <c r="I117" s="14"/>
      <c r="J117" s="39">
        <v>41</v>
      </c>
      <c r="K117" s="73"/>
      <c r="L117" s="14"/>
      <c r="M117" s="88">
        <f t="shared" si="8"/>
        <v>41</v>
      </c>
      <c r="N117" s="30" t="s">
        <v>130</v>
      </c>
    </row>
    <row r="118" spans="1:14">
      <c r="A118" s="74"/>
      <c r="B118" s="37" t="s">
        <v>99</v>
      </c>
      <c r="C118" s="75"/>
      <c r="D118" s="76"/>
      <c r="E118" s="74"/>
      <c r="F118" s="74"/>
      <c r="G118" s="76"/>
      <c r="H118" s="75"/>
      <c r="I118" s="74"/>
      <c r="J118" s="39">
        <v>49</v>
      </c>
      <c r="K118" s="77"/>
      <c r="L118" s="74"/>
      <c r="M118" s="88">
        <f t="shared" si="8"/>
        <v>49</v>
      </c>
      <c r="N118" s="30" t="s">
        <v>131</v>
      </c>
    </row>
    <row r="119" spans="1:14">
      <c r="A119" s="14"/>
      <c r="B119" s="37" t="s">
        <v>100</v>
      </c>
      <c r="C119" s="44"/>
      <c r="D119" s="27"/>
      <c r="E119" s="27"/>
      <c r="F119" s="44"/>
      <c r="G119" s="27"/>
      <c r="H119" s="44"/>
      <c r="I119" s="14"/>
      <c r="J119" s="39">
        <v>274</v>
      </c>
      <c r="K119" s="73"/>
      <c r="L119" s="14"/>
      <c r="M119" s="88">
        <f t="shared" si="8"/>
        <v>274</v>
      </c>
      <c r="N119" s="30">
        <v>454</v>
      </c>
    </row>
    <row r="120" spans="1:14">
      <c r="A120" s="74"/>
      <c r="B120" s="37" t="s">
        <v>101</v>
      </c>
      <c r="C120" s="75"/>
      <c r="D120" s="76"/>
      <c r="E120" s="76"/>
      <c r="F120" s="74"/>
      <c r="G120" s="76"/>
      <c r="H120" s="75"/>
      <c r="I120" s="74"/>
      <c r="J120" s="39">
        <v>49</v>
      </c>
      <c r="K120" s="77"/>
      <c r="L120" s="74"/>
      <c r="M120" s="88">
        <f t="shared" si="8"/>
        <v>49</v>
      </c>
      <c r="N120" s="30" t="s">
        <v>132</v>
      </c>
    </row>
    <row r="121" spans="1:14">
      <c r="A121" s="14"/>
      <c r="B121" s="37" t="s">
        <v>102</v>
      </c>
      <c r="C121" s="44"/>
      <c r="D121" s="27"/>
      <c r="E121" s="27"/>
      <c r="F121" s="44"/>
      <c r="G121" s="27"/>
      <c r="H121" s="44"/>
      <c r="I121" s="14"/>
      <c r="J121" s="39">
        <v>130</v>
      </c>
      <c r="K121" s="73"/>
      <c r="L121" s="14"/>
      <c r="M121" s="88">
        <f t="shared" si="8"/>
        <v>130</v>
      </c>
      <c r="N121" s="30" t="s">
        <v>133</v>
      </c>
    </row>
    <row r="122" spans="1:14">
      <c r="A122" s="14"/>
      <c r="B122" s="37" t="s">
        <v>103</v>
      </c>
      <c r="C122" s="44"/>
      <c r="D122" s="27"/>
      <c r="E122" s="27"/>
      <c r="F122" s="44"/>
      <c r="G122" s="27"/>
      <c r="H122" s="44"/>
      <c r="I122" s="14"/>
      <c r="J122" s="39">
        <v>51</v>
      </c>
      <c r="K122" s="73"/>
      <c r="L122" s="14"/>
      <c r="M122" s="88">
        <f t="shared" si="8"/>
        <v>51</v>
      </c>
      <c r="N122" s="30" t="s">
        <v>134</v>
      </c>
    </row>
    <row r="123" spans="1:14">
      <c r="A123" s="14"/>
      <c r="B123" s="37" t="s">
        <v>104</v>
      </c>
      <c r="C123" s="44"/>
      <c r="D123" s="27"/>
      <c r="E123" s="27"/>
      <c r="F123" s="44"/>
      <c r="G123" s="27"/>
      <c r="H123" s="44"/>
      <c r="I123" s="14"/>
      <c r="J123" s="39">
        <v>156</v>
      </c>
      <c r="K123" s="73"/>
      <c r="L123" s="14"/>
      <c r="M123" s="88">
        <f t="shared" si="8"/>
        <v>156</v>
      </c>
      <c r="N123" s="30" t="s">
        <v>135</v>
      </c>
    </row>
    <row r="124" spans="1:14">
      <c r="A124" s="14"/>
      <c r="B124" s="37" t="s">
        <v>105</v>
      </c>
      <c r="C124" s="44"/>
      <c r="D124" s="27"/>
      <c r="E124" s="27"/>
      <c r="F124" s="44"/>
      <c r="G124" s="27"/>
      <c r="H124" s="44"/>
      <c r="I124" s="14"/>
      <c r="J124" s="39">
        <v>1257.04</v>
      </c>
      <c r="K124" s="73"/>
      <c r="L124" s="14"/>
      <c r="M124" s="88">
        <f t="shared" si="8"/>
        <v>1257.04</v>
      </c>
      <c r="N124" s="30"/>
    </row>
    <row r="125" spans="1:14">
      <c r="A125" s="74"/>
      <c r="B125" s="37" t="s">
        <v>106</v>
      </c>
      <c r="C125" s="75"/>
      <c r="D125" s="76"/>
      <c r="E125" s="74"/>
      <c r="F125" s="74"/>
      <c r="G125" s="76"/>
      <c r="H125" s="75"/>
      <c r="I125" s="74"/>
      <c r="J125" s="39">
        <v>158</v>
      </c>
      <c r="K125" s="77"/>
      <c r="L125" s="74"/>
      <c r="M125" s="88">
        <f t="shared" si="8"/>
        <v>158</v>
      </c>
      <c r="N125" s="30" t="s">
        <v>136</v>
      </c>
    </row>
    <row r="126" spans="1:14">
      <c r="A126" s="14"/>
      <c r="B126" s="37" t="s">
        <v>107</v>
      </c>
      <c r="C126" s="44"/>
      <c r="D126" s="27"/>
      <c r="E126" s="27"/>
      <c r="F126" s="44"/>
      <c r="G126" s="27"/>
      <c r="H126" s="44"/>
      <c r="I126" s="14"/>
      <c r="J126" s="39">
        <v>125.72</v>
      </c>
      <c r="K126" s="73"/>
      <c r="L126" s="14"/>
      <c r="M126" s="88">
        <f t="shared" si="8"/>
        <v>125.72</v>
      </c>
      <c r="N126" s="30" t="s">
        <v>137</v>
      </c>
    </row>
    <row r="127" spans="1:14" ht="17.25" thickBot="1">
      <c r="A127" s="14"/>
      <c r="B127" s="37" t="s">
        <v>108</v>
      </c>
      <c r="C127" s="44"/>
      <c r="D127" s="27"/>
      <c r="E127" s="27"/>
      <c r="F127" s="44"/>
      <c r="G127" s="27"/>
      <c r="H127" s="44"/>
      <c r="I127" s="14"/>
      <c r="J127" s="39">
        <v>63.78</v>
      </c>
      <c r="K127" s="73"/>
      <c r="L127" s="14"/>
      <c r="M127" s="88">
        <f t="shared" si="8"/>
        <v>63.78</v>
      </c>
      <c r="N127" s="30"/>
    </row>
    <row r="128" spans="1:14" ht="17.25" thickBot="1">
      <c r="A128" s="135" t="s">
        <v>3</v>
      </c>
      <c r="B128" s="127" t="s">
        <v>0</v>
      </c>
      <c r="C128" s="135" t="s">
        <v>149</v>
      </c>
      <c r="D128" s="136"/>
      <c r="E128" s="136"/>
      <c r="F128" s="136"/>
      <c r="G128" s="136"/>
      <c r="H128" s="136"/>
      <c r="I128" s="136"/>
      <c r="J128" s="136"/>
      <c r="K128" s="136"/>
      <c r="L128" s="136"/>
      <c r="M128" s="116" t="s">
        <v>76</v>
      </c>
      <c r="N128" s="127" t="s">
        <v>150</v>
      </c>
    </row>
    <row r="129" spans="1:14" ht="63" customHeight="1" thickBot="1">
      <c r="A129" s="148"/>
      <c r="B129" s="149"/>
      <c r="C129" s="45" t="s">
        <v>4</v>
      </c>
      <c r="D129" s="45" t="s">
        <v>155</v>
      </c>
      <c r="E129" s="49" t="s">
        <v>1</v>
      </c>
      <c r="F129" s="51" t="s">
        <v>85</v>
      </c>
      <c r="G129" s="49" t="s">
        <v>84</v>
      </c>
      <c r="H129" s="51" t="s">
        <v>86</v>
      </c>
      <c r="I129" s="49" t="s">
        <v>2</v>
      </c>
      <c r="J129" s="49" t="s">
        <v>79</v>
      </c>
      <c r="K129" s="51" t="s">
        <v>94</v>
      </c>
      <c r="L129" s="45" t="s">
        <v>128</v>
      </c>
      <c r="M129" s="140"/>
      <c r="N129" s="128"/>
    </row>
    <row r="130" spans="1:14" ht="17.25" thickBot="1">
      <c r="A130" s="45">
        <v>1</v>
      </c>
      <c r="B130" s="49">
        <v>2</v>
      </c>
      <c r="C130" s="45">
        <v>3</v>
      </c>
      <c r="D130" s="45">
        <v>4</v>
      </c>
      <c r="E130" s="49">
        <v>5</v>
      </c>
      <c r="F130" s="51">
        <v>6</v>
      </c>
      <c r="G130" s="49">
        <v>7</v>
      </c>
      <c r="H130" s="51">
        <v>8</v>
      </c>
      <c r="I130" s="49">
        <v>9</v>
      </c>
      <c r="J130" s="49">
        <v>10</v>
      </c>
      <c r="K130" s="51">
        <v>11</v>
      </c>
      <c r="L130" s="45">
        <v>12</v>
      </c>
      <c r="M130" s="89">
        <v>13</v>
      </c>
      <c r="N130" s="52">
        <v>14</v>
      </c>
    </row>
    <row r="131" spans="1:14">
      <c r="A131" s="14"/>
      <c r="B131" s="67" t="s">
        <v>109</v>
      </c>
      <c r="C131" s="44"/>
      <c r="D131" s="53"/>
      <c r="E131" s="44"/>
      <c r="F131" s="53"/>
      <c r="G131" s="44"/>
      <c r="H131" s="53"/>
      <c r="I131" s="44"/>
      <c r="J131" s="70">
        <v>255</v>
      </c>
      <c r="K131" s="44"/>
      <c r="L131" s="53"/>
      <c r="M131" s="107">
        <f t="shared" si="8"/>
        <v>255</v>
      </c>
      <c r="N131" s="72" t="s">
        <v>138</v>
      </c>
    </row>
    <row r="132" spans="1:14">
      <c r="A132" s="14"/>
      <c r="B132" s="37" t="s">
        <v>110</v>
      </c>
      <c r="C132" s="44"/>
      <c r="D132" s="27"/>
      <c r="E132" s="44"/>
      <c r="F132" s="27"/>
      <c r="G132" s="44"/>
      <c r="H132" s="27"/>
      <c r="I132" s="44"/>
      <c r="J132" s="39">
        <v>55.47</v>
      </c>
      <c r="K132" s="44"/>
      <c r="L132" s="27"/>
      <c r="M132" s="107">
        <f t="shared" si="8"/>
        <v>55.47</v>
      </c>
      <c r="N132" s="30" t="s">
        <v>139</v>
      </c>
    </row>
    <row r="133" spans="1:14">
      <c r="A133" s="14"/>
      <c r="B133" s="37" t="s">
        <v>111</v>
      </c>
      <c r="C133" s="44"/>
      <c r="D133" s="27"/>
      <c r="E133" s="44"/>
      <c r="F133" s="27"/>
      <c r="G133" s="44"/>
      <c r="H133" s="27"/>
      <c r="I133" s="44"/>
      <c r="J133" s="39">
        <v>111.5</v>
      </c>
      <c r="K133" s="44"/>
      <c r="L133" s="27"/>
      <c r="M133" s="107">
        <f t="shared" si="8"/>
        <v>111.5</v>
      </c>
      <c r="N133" s="30"/>
    </row>
    <row r="134" spans="1:14">
      <c r="A134" s="14"/>
      <c r="B134" s="37" t="s">
        <v>112</v>
      </c>
      <c r="C134" s="44"/>
      <c r="D134" s="27"/>
      <c r="E134" s="44"/>
      <c r="F134" s="27"/>
      <c r="G134" s="44"/>
      <c r="H134" s="27"/>
      <c r="I134" s="44"/>
      <c r="J134" s="39">
        <v>69</v>
      </c>
      <c r="K134" s="44"/>
      <c r="L134" s="27"/>
      <c r="M134" s="107">
        <f t="shared" si="8"/>
        <v>69</v>
      </c>
      <c r="N134" s="30" t="s">
        <v>140</v>
      </c>
    </row>
    <row r="135" spans="1:14">
      <c r="A135" s="74"/>
      <c r="B135" s="37" t="s">
        <v>113</v>
      </c>
      <c r="C135" s="75"/>
      <c r="D135" s="76"/>
      <c r="E135" s="75"/>
      <c r="F135" s="76"/>
      <c r="G135" s="75"/>
      <c r="H135" s="76"/>
      <c r="I135" s="75"/>
      <c r="J135" s="39">
        <v>35</v>
      </c>
      <c r="K135" s="75"/>
      <c r="L135" s="76"/>
      <c r="M135" s="107">
        <f t="shared" si="8"/>
        <v>35</v>
      </c>
      <c r="N135" s="30" t="s">
        <v>141</v>
      </c>
    </row>
    <row r="136" spans="1:14">
      <c r="A136" s="14"/>
      <c r="B136" s="37" t="s">
        <v>114</v>
      </c>
      <c r="C136" s="44"/>
      <c r="D136" s="27"/>
      <c r="E136" s="44"/>
      <c r="F136" s="27"/>
      <c r="G136" s="44"/>
      <c r="H136" s="27"/>
      <c r="I136" s="44"/>
      <c r="J136" s="39">
        <v>75</v>
      </c>
      <c r="K136" s="44"/>
      <c r="L136" s="27"/>
      <c r="M136" s="107">
        <f t="shared" si="8"/>
        <v>75</v>
      </c>
      <c r="N136" s="30"/>
    </row>
    <row r="137" spans="1:14">
      <c r="A137" s="14"/>
      <c r="B137" s="37" t="s">
        <v>156</v>
      </c>
      <c r="C137" s="44"/>
      <c r="D137" s="27"/>
      <c r="E137" s="44"/>
      <c r="F137" s="27"/>
      <c r="G137" s="44"/>
      <c r="H137" s="27"/>
      <c r="I137" s="44"/>
      <c r="J137" s="39">
        <v>65</v>
      </c>
      <c r="K137" s="44"/>
      <c r="L137" s="27"/>
      <c r="M137" s="107">
        <f t="shared" si="8"/>
        <v>65</v>
      </c>
      <c r="N137" s="30"/>
    </row>
    <row r="138" spans="1:14">
      <c r="A138" s="14"/>
      <c r="B138" s="37" t="s">
        <v>115</v>
      </c>
      <c r="C138" s="44"/>
      <c r="D138" s="27"/>
      <c r="E138" s="44"/>
      <c r="F138" s="27"/>
      <c r="G138" s="44"/>
      <c r="H138" s="27"/>
      <c r="I138" s="44"/>
      <c r="J138" s="39">
        <v>145</v>
      </c>
      <c r="K138" s="44"/>
      <c r="L138" s="27"/>
      <c r="M138" s="107">
        <f t="shared" si="8"/>
        <v>145</v>
      </c>
      <c r="N138" s="30" t="s">
        <v>142</v>
      </c>
    </row>
    <row r="139" spans="1:14">
      <c r="A139" s="14"/>
      <c r="B139" s="37" t="s">
        <v>116</v>
      </c>
      <c r="C139" s="44"/>
      <c r="D139" s="27"/>
      <c r="E139" s="44"/>
      <c r="F139" s="27"/>
      <c r="G139" s="44"/>
      <c r="H139" s="27"/>
      <c r="I139" s="44"/>
      <c r="J139" s="39"/>
      <c r="K139" s="44">
        <v>227</v>
      </c>
      <c r="L139" s="27"/>
      <c r="M139" s="107">
        <f t="shared" si="8"/>
        <v>227</v>
      </c>
      <c r="N139" s="30">
        <v>459</v>
      </c>
    </row>
    <row r="140" spans="1:14">
      <c r="A140" s="14"/>
      <c r="B140" s="37" t="s">
        <v>117</v>
      </c>
      <c r="C140" s="44"/>
      <c r="D140" s="27"/>
      <c r="E140" s="44"/>
      <c r="F140" s="27"/>
      <c r="G140" s="44"/>
      <c r="H140" s="27"/>
      <c r="I140" s="44"/>
      <c r="J140" s="39">
        <v>71</v>
      </c>
      <c r="K140" s="44"/>
      <c r="L140" s="27"/>
      <c r="M140" s="107">
        <f t="shared" si="8"/>
        <v>71</v>
      </c>
      <c r="N140" s="30"/>
    </row>
    <row r="141" spans="1:14">
      <c r="A141" s="14"/>
      <c r="B141" s="37" t="s">
        <v>118</v>
      </c>
      <c r="C141" s="44"/>
      <c r="D141" s="27"/>
      <c r="E141" s="44"/>
      <c r="F141" s="27"/>
      <c r="G141" s="44"/>
      <c r="H141" s="27"/>
      <c r="I141" s="44"/>
      <c r="J141" s="42">
        <v>40.299999999999997</v>
      </c>
      <c r="K141" s="44"/>
      <c r="L141" s="27"/>
      <c r="M141" s="107">
        <f t="shared" si="8"/>
        <v>40.299999999999997</v>
      </c>
      <c r="N141" s="30"/>
    </row>
    <row r="142" spans="1:14" s="5" customFormat="1" ht="30" customHeight="1">
      <c r="A142" s="14"/>
      <c r="B142" s="102" t="s">
        <v>127</v>
      </c>
      <c r="C142" s="44"/>
      <c r="D142" s="27"/>
      <c r="E142" s="44"/>
      <c r="F142" s="27"/>
      <c r="G142" s="44"/>
      <c r="H142" s="27"/>
      <c r="I142" s="44"/>
      <c r="J142" s="27"/>
      <c r="K142" s="44">
        <v>537.58000000000004</v>
      </c>
      <c r="L142" s="27"/>
      <c r="M142" s="107">
        <f t="shared" si="8"/>
        <v>537.58000000000004</v>
      </c>
      <c r="N142" s="30"/>
    </row>
    <row r="143" spans="1:14">
      <c r="A143" s="14"/>
      <c r="B143" s="37" t="s">
        <v>119</v>
      </c>
      <c r="C143" s="44"/>
      <c r="D143" s="27"/>
      <c r="E143" s="44"/>
      <c r="F143" s="27"/>
      <c r="G143" s="44"/>
      <c r="H143" s="27"/>
      <c r="I143" s="44"/>
      <c r="J143" s="106">
        <v>154</v>
      </c>
      <c r="K143" s="44"/>
      <c r="L143" s="27"/>
      <c r="M143" s="107">
        <f t="shared" si="8"/>
        <v>154</v>
      </c>
      <c r="N143" s="30" t="s">
        <v>143</v>
      </c>
    </row>
    <row r="144" spans="1:14">
      <c r="A144" s="74"/>
      <c r="B144" s="37" t="s">
        <v>120</v>
      </c>
      <c r="C144" s="75"/>
      <c r="D144" s="76"/>
      <c r="E144" s="75"/>
      <c r="F144" s="76"/>
      <c r="G144" s="75"/>
      <c r="H144" s="76"/>
      <c r="I144" s="75"/>
      <c r="J144" s="39">
        <v>134.47999999999999</v>
      </c>
      <c r="K144" s="75"/>
      <c r="L144" s="76"/>
      <c r="M144" s="107">
        <f t="shared" si="8"/>
        <v>134.47999999999999</v>
      </c>
      <c r="N144" s="30" t="s">
        <v>144</v>
      </c>
    </row>
    <row r="145" spans="1:14">
      <c r="A145" s="14"/>
      <c r="B145" s="37" t="s">
        <v>121</v>
      </c>
      <c r="C145" s="44"/>
      <c r="D145" s="27"/>
      <c r="E145" s="44"/>
      <c r="F145" s="27"/>
      <c r="G145" s="44"/>
      <c r="H145" s="27"/>
      <c r="I145" s="44"/>
      <c r="J145" s="39">
        <v>62.12</v>
      </c>
      <c r="K145" s="44"/>
      <c r="L145" s="27"/>
      <c r="M145" s="107">
        <f t="shared" si="8"/>
        <v>62.12</v>
      </c>
      <c r="N145" s="30" t="s">
        <v>145</v>
      </c>
    </row>
    <row r="146" spans="1:14">
      <c r="A146" s="14"/>
      <c r="B146" s="37" t="s">
        <v>122</v>
      </c>
      <c r="C146" s="44"/>
      <c r="D146" s="27"/>
      <c r="E146" s="44"/>
      <c r="F146" s="27"/>
      <c r="G146" s="44"/>
      <c r="H146" s="27"/>
      <c r="I146" s="44"/>
      <c r="J146" s="39">
        <v>134.1</v>
      </c>
      <c r="K146" s="44"/>
      <c r="L146" s="27"/>
      <c r="M146" s="107">
        <f t="shared" si="8"/>
        <v>134.1</v>
      </c>
      <c r="N146" s="30" t="s">
        <v>146</v>
      </c>
    </row>
    <row r="147" spans="1:14">
      <c r="A147" s="14"/>
      <c r="B147" s="37" t="s">
        <v>123</v>
      </c>
      <c r="C147" s="44"/>
      <c r="D147" s="27"/>
      <c r="E147" s="44"/>
      <c r="F147" s="27"/>
      <c r="G147" s="44"/>
      <c r="H147" s="27"/>
      <c r="I147" s="44"/>
      <c r="J147" s="39">
        <v>51.06</v>
      </c>
      <c r="K147" s="44"/>
      <c r="L147" s="27"/>
      <c r="M147" s="107">
        <f t="shared" si="8"/>
        <v>51.06</v>
      </c>
      <c r="N147" s="30" t="s">
        <v>147</v>
      </c>
    </row>
    <row r="148" spans="1:14">
      <c r="A148" s="14"/>
      <c r="B148" s="103" t="s">
        <v>124</v>
      </c>
      <c r="C148" s="44"/>
      <c r="D148" s="27"/>
      <c r="E148" s="44"/>
      <c r="F148" s="27"/>
      <c r="G148" s="44"/>
      <c r="H148" s="27"/>
      <c r="I148" s="44"/>
      <c r="J148" s="42">
        <v>46</v>
      </c>
      <c r="K148" s="44"/>
      <c r="L148" s="27"/>
      <c r="M148" s="107">
        <f t="shared" si="8"/>
        <v>46</v>
      </c>
      <c r="N148" s="30" t="s">
        <v>148</v>
      </c>
    </row>
    <row r="149" spans="1:14" s="5" customFormat="1">
      <c r="A149" s="100"/>
      <c r="B149" s="103" t="s">
        <v>93</v>
      </c>
      <c r="C149" s="104"/>
      <c r="D149" s="41"/>
      <c r="E149" s="104"/>
      <c r="F149" s="41"/>
      <c r="G149" s="104"/>
      <c r="H149" s="41"/>
      <c r="I149" s="105">
        <v>3361</v>
      </c>
      <c r="J149" s="41"/>
      <c r="K149" s="104"/>
      <c r="L149" s="41"/>
      <c r="M149" s="108">
        <f t="shared" si="8"/>
        <v>3361</v>
      </c>
      <c r="N149" s="43">
        <v>2073</v>
      </c>
    </row>
    <row r="150" spans="1:14" s="5" customFormat="1" ht="17.25" thickBot="1">
      <c r="A150" s="101"/>
      <c r="B150" s="38" t="s">
        <v>157</v>
      </c>
      <c r="C150" s="104"/>
      <c r="D150" s="58"/>
      <c r="E150" s="104"/>
      <c r="F150" s="58"/>
      <c r="G150" s="104"/>
      <c r="H150" s="58"/>
      <c r="I150" s="105">
        <v>114</v>
      </c>
      <c r="J150" s="58"/>
      <c r="K150" s="104"/>
      <c r="L150" s="58">
        <v>3</v>
      </c>
      <c r="M150" s="108">
        <f t="shared" si="8"/>
        <v>117</v>
      </c>
      <c r="N150" s="109">
        <v>80</v>
      </c>
    </row>
    <row r="151" spans="1:14" s="1" customFormat="1" ht="17.25" thickBot="1">
      <c r="A151" s="144" t="s">
        <v>50</v>
      </c>
      <c r="B151" s="145"/>
      <c r="C151" s="79">
        <f t="shared" ref="C151:L151" si="9">C114+C115+C116+C117+C118+C119+C120+C121+C122+C123+C124+C125+C126+C127+C131+C132+C133+C134+C135+C136+C138+C139+C140+C141+C142+C143+C144+C145+C146+C147+C148+C149</f>
        <v>0</v>
      </c>
      <c r="D151" s="78">
        <f t="shared" si="9"/>
        <v>0</v>
      </c>
      <c r="E151" s="79">
        <f t="shared" si="9"/>
        <v>0</v>
      </c>
      <c r="F151" s="78">
        <f t="shared" si="9"/>
        <v>0</v>
      </c>
      <c r="G151" s="79">
        <f t="shared" si="9"/>
        <v>0</v>
      </c>
      <c r="H151" s="78">
        <f t="shared" si="9"/>
        <v>0</v>
      </c>
      <c r="I151" s="79">
        <f t="shared" si="9"/>
        <v>3361</v>
      </c>
      <c r="J151" s="78">
        <f t="shared" si="9"/>
        <v>4009.5699999999997</v>
      </c>
      <c r="K151" s="79">
        <f t="shared" si="9"/>
        <v>764.58</v>
      </c>
      <c r="L151" s="78">
        <f t="shared" si="9"/>
        <v>0</v>
      </c>
      <c r="M151" s="90">
        <f>M114+M115+M116+M117+M118+M119+M120+M121+M122+M123+M124+M125+M126+M127+M131+M132+M133+M134+M135+M136+M137+M138+M139+M140+M141+M142+M143+M144+M145+M146+M147+M148+M149+M150</f>
        <v>8317.1500000000015</v>
      </c>
      <c r="N151" s="80">
        <v>5561.45</v>
      </c>
    </row>
    <row r="152" spans="1:14" s="40" customFormat="1" ht="23.25" customHeight="1" thickBot="1">
      <c r="A152" s="146" t="s">
        <v>153</v>
      </c>
      <c r="B152" s="147"/>
      <c r="C152" s="81">
        <f>C97+C104+C106+C110+C151</f>
        <v>1309.5999999999999</v>
      </c>
      <c r="D152" s="81">
        <f t="shared" ref="D152:N152" si="10">D97+D104+D106+D110+D151</f>
        <v>84.2</v>
      </c>
      <c r="E152" s="81">
        <f t="shared" si="10"/>
        <v>8783.4999999999982</v>
      </c>
      <c r="F152" s="81">
        <f t="shared" si="10"/>
        <v>4257.3</v>
      </c>
      <c r="G152" s="81">
        <f t="shared" si="10"/>
        <v>605.4</v>
      </c>
      <c r="H152" s="81">
        <f t="shared" si="10"/>
        <v>825</v>
      </c>
      <c r="I152" s="81">
        <f t="shared" si="10"/>
        <v>42126.19</v>
      </c>
      <c r="J152" s="81">
        <f t="shared" si="10"/>
        <v>4295.57</v>
      </c>
      <c r="K152" s="81">
        <f t="shared" si="10"/>
        <v>764.58</v>
      </c>
      <c r="L152" s="81">
        <f t="shared" si="10"/>
        <v>1060.6500000000001</v>
      </c>
      <c r="M152" s="91">
        <f t="shared" si="10"/>
        <v>64293.99</v>
      </c>
      <c r="N152" s="91">
        <f t="shared" si="10"/>
        <v>36242.249999999993</v>
      </c>
    </row>
    <row r="153" spans="1:14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92"/>
      <c r="N153" s="82"/>
    </row>
    <row r="154" spans="1:14" ht="15.75">
      <c r="A154" s="122" t="s">
        <v>154</v>
      </c>
      <c r="B154" s="123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</row>
    <row r="155" spans="1:14" ht="36" customHeight="1">
      <c r="A155" s="83"/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93"/>
      <c r="N155" s="83"/>
    </row>
    <row r="156" spans="1:14" ht="15.75">
      <c r="A156" s="121"/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83"/>
    </row>
    <row r="157" spans="1:14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92"/>
      <c r="N157" s="82"/>
    </row>
    <row r="158" spans="1:14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92"/>
      <c r="N158" s="21"/>
    </row>
    <row r="159" spans="1:14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92"/>
      <c r="N159" s="21"/>
    </row>
    <row r="160" spans="1:14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92"/>
      <c r="N160" s="21"/>
    </row>
  </sheetData>
  <mergeCells count="26">
    <mergeCell ref="A156:M156"/>
    <mergeCell ref="A154:N154"/>
    <mergeCell ref="N3:N4"/>
    <mergeCell ref="A113:N113"/>
    <mergeCell ref="N128:N129"/>
    <mergeCell ref="A105:N105"/>
    <mergeCell ref="A109:N109"/>
    <mergeCell ref="C128:L128"/>
    <mergeCell ref="A101:N101"/>
    <mergeCell ref="M128:M129"/>
    <mergeCell ref="M3:M4"/>
    <mergeCell ref="A15:N15"/>
    <mergeCell ref="A151:B151"/>
    <mergeCell ref="A152:B152"/>
    <mergeCell ref="A128:A129"/>
    <mergeCell ref="B128:B129"/>
    <mergeCell ref="A1:N1"/>
    <mergeCell ref="A98:A99"/>
    <mergeCell ref="B98:B99"/>
    <mergeCell ref="C98:L98"/>
    <mergeCell ref="M98:M99"/>
    <mergeCell ref="N98:N99"/>
    <mergeCell ref="A3:A4"/>
    <mergeCell ref="B3:B4"/>
    <mergeCell ref="C3:L3"/>
    <mergeCell ref="A97:B97"/>
  </mergeCells>
  <phoneticPr fontId="3" type="noConversion"/>
  <printOptions horizontalCentered="1"/>
  <pageMargins left="0" right="0" top="0.59055118110236227" bottom="0.59055118110236227" header="0.51181102362204722" footer="0.51181102362204722"/>
  <pageSetup paperSize="9" scale="83" orientation="landscape" r:id="rId1"/>
  <headerFooter alignWithMargins="0"/>
  <rowBreaks count="2" manualBreakCount="2">
    <brk id="97" max="13" man="1"/>
    <brk id="12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Khakimova</dc:creator>
  <cp:lastModifiedBy>e.farrahova</cp:lastModifiedBy>
  <cp:lastPrinted>2012-06-19T04:36:31Z</cp:lastPrinted>
  <dcterms:created xsi:type="dcterms:W3CDTF">2011-11-10T06:57:56Z</dcterms:created>
  <dcterms:modified xsi:type="dcterms:W3CDTF">2012-06-26T06:36:37Z</dcterms:modified>
</cp:coreProperties>
</file>